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6735" windowHeight="2415" activeTab="1"/>
  </bookViews>
  <sheets>
    <sheet name="CRONOGRAMA" sheetId="2" r:id="rId1"/>
    <sheet name="ORÇAMENTO " sheetId="1" r:id="rId2"/>
  </sheets>
  <definedNames>
    <definedName name="_xlnm.Print_Titles" localSheetId="1">'ORÇAMENTO '!$9:$9</definedName>
  </definedNames>
  <calcPr calcId="145621"/>
</workbook>
</file>

<file path=xl/calcChain.xml><?xml version="1.0" encoding="utf-8"?>
<calcChain xmlns="http://schemas.openxmlformats.org/spreadsheetml/2006/main">
  <c r="I38" i="1" l="1"/>
  <c r="G52" i="1"/>
  <c r="I112" i="1"/>
  <c r="K112" i="1" s="1"/>
  <c r="O15" i="1" l="1"/>
  <c r="I69" i="1"/>
  <c r="I68" i="1"/>
  <c r="I46" i="1"/>
  <c r="I30" i="1"/>
  <c r="G98" i="1" l="1"/>
  <c r="I116" i="1" l="1"/>
  <c r="K116" i="1" s="1"/>
  <c r="K30" i="1"/>
  <c r="I115" i="1"/>
  <c r="K115" i="1" s="1"/>
  <c r="I113" i="1"/>
  <c r="K113" i="1" s="1"/>
  <c r="I111" i="1"/>
  <c r="K111" i="1" s="1"/>
  <c r="I110" i="1"/>
  <c r="I109" i="1"/>
  <c r="K109" i="1" s="1"/>
  <c r="I108" i="1"/>
  <c r="I107" i="1"/>
  <c r="K107" i="1" s="1"/>
  <c r="I106" i="1"/>
  <c r="I105" i="1"/>
  <c r="K105" i="1" s="1"/>
  <c r="I104" i="1"/>
  <c r="K104" i="1" s="1"/>
  <c r="I103" i="1"/>
  <c r="K103" i="1" s="1"/>
  <c r="I101" i="1"/>
  <c r="K101" i="1" s="1"/>
  <c r="I92" i="1"/>
  <c r="K92" i="1" s="1"/>
  <c r="I91" i="1"/>
  <c r="I90" i="1"/>
  <c r="K90" i="1" s="1"/>
  <c r="I81" i="1"/>
  <c r="I80" i="1"/>
  <c r="K80" i="1" s="1"/>
  <c r="I79" i="1"/>
  <c r="K79" i="1" s="1"/>
  <c r="I70" i="1"/>
  <c r="K70" i="1" s="1"/>
  <c r="I60" i="1"/>
  <c r="K60" i="1" s="1"/>
  <c r="I58" i="1"/>
  <c r="K58" i="1" s="1"/>
  <c r="I57" i="1"/>
  <c r="I56" i="1"/>
  <c r="K56" i="1" s="1"/>
  <c r="I55" i="1"/>
  <c r="I45" i="1"/>
  <c r="K45" i="1" s="1"/>
  <c r="I44" i="1"/>
  <c r="I43" i="1"/>
  <c r="K43" i="1" s="1"/>
  <c r="I42" i="1"/>
  <c r="I41" i="1"/>
  <c r="K41" i="1" s="1"/>
  <c r="I40" i="1"/>
  <c r="K40" i="1" s="1"/>
  <c r="I39" i="1"/>
  <c r="K39" i="1" s="1"/>
  <c r="K38" i="1"/>
  <c r="I37" i="1"/>
  <c r="K37" i="1" s="1"/>
  <c r="I35" i="1"/>
  <c r="K35" i="1" s="1"/>
  <c r="I32" i="1"/>
  <c r="K32" i="1" s="1"/>
  <c r="I119" i="1"/>
  <c r="K119" i="1" s="1"/>
  <c r="I118" i="1"/>
  <c r="K118" i="1" s="1"/>
  <c r="I117" i="1"/>
  <c r="K117" i="1" s="1"/>
  <c r="I102" i="1"/>
  <c r="K102" i="1" s="1"/>
  <c r="I99" i="1"/>
  <c r="I98" i="1"/>
  <c r="I93" i="1"/>
  <c r="K93" i="1" s="1"/>
  <c r="I87" i="1"/>
  <c r="K87" i="1" s="1"/>
  <c r="I82" i="1"/>
  <c r="K82" i="1" s="1"/>
  <c r="I53" i="1"/>
  <c r="I52" i="1"/>
  <c r="I36" i="1"/>
  <c r="K36" i="1" s="1"/>
  <c r="I31" i="1"/>
  <c r="K31" i="1" s="1"/>
  <c r="I15" i="1"/>
  <c r="K15" i="1" s="1"/>
  <c r="I14" i="1"/>
  <c r="K14" i="1" s="1"/>
  <c r="I11" i="1"/>
  <c r="K11" i="1" s="1"/>
  <c r="K12" i="1" s="1"/>
  <c r="H122" i="1"/>
  <c r="I122" i="1" s="1"/>
  <c r="K122" i="1" s="1"/>
  <c r="H121" i="1"/>
  <c r="I121" i="1" s="1"/>
  <c r="K121" i="1" s="1"/>
  <c r="H89" i="1"/>
  <c r="I89" i="1" s="1"/>
  <c r="K89" i="1" s="1"/>
  <c r="H88" i="1"/>
  <c r="I88" i="1" s="1"/>
  <c r="K88" i="1" s="1"/>
  <c r="H86" i="1"/>
  <c r="I86" i="1" s="1"/>
  <c r="K86" i="1" s="1"/>
  <c r="H78" i="1"/>
  <c r="I78" i="1" s="1"/>
  <c r="K78" i="1" s="1"/>
  <c r="H77" i="1"/>
  <c r="I77" i="1" s="1"/>
  <c r="K77" i="1" s="1"/>
  <c r="H66" i="1"/>
  <c r="I66" i="1" s="1"/>
  <c r="K66" i="1" s="1"/>
  <c r="H65" i="1"/>
  <c r="I65" i="1" s="1"/>
  <c r="K65" i="1" s="1"/>
  <c r="H48" i="1"/>
  <c r="I48" i="1" s="1"/>
  <c r="K48" i="1" s="1"/>
  <c r="H27" i="1"/>
  <c r="I27" i="1" s="1"/>
  <c r="K27" i="1" s="1"/>
  <c r="H26" i="1"/>
  <c r="I26" i="1" s="1"/>
  <c r="K26" i="1" s="1"/>
  <c r="H25" i="1"/>
  <c r="I25" i="1" s="1"/>
  <c r="K25" i="1" s="1"/>
  <c r="H24" i="1"/>
  <c r="I24" i="1" s="1"/>
  <c r="K24" i="1" s="1"/>
  <c r="H23" i="1"/>
  <c r="I23" i="1" s="1"/>
  <c r="K23" i="1" s="1"/>
  <c r="H21" i="1"/>
  <c r="I21" i="1" s="1"/>
  <c r="K21" i="1" s="1"/>
  <c r="H20" i="1"/>
  <c r="I20" i="1" s="1"/>
  <c r="K20" i="1" s="1"/>
  <c r="H19" i="1"/>
  <c r="I19" i="1" s="1"/>
  <c r="K19" i="1" s="1"/>
  <c r="H17" i="1"/>
  <c r="I17" i="1" s="1"/>
  <c r="K17" i="1" s="1"/>
  <c r="K110" i="1"/>
  <c r="K108" i="1"/>
  <c r="K106" i="1"/>
  <c r="K91" i="1"/>
  <c r="K81" i="1"/>
  <c r="K69" i="1"/>
  <c r="K68" i="1"/>
  <c r="K67" i="1"/>
  <c r="K64" i="1"/>
  <c r="K57" i="1"/>
  <c r="K55" i="1"/>
  <c r="K46" i="1"/>
  <c r="K44" i="1"/>
  <c r="K42" i="1"/>
  <c r="K94" i="1" l="1"/>
  <c r="H75" i="1"/>
  <c r="I75" i="1" s="1"/>
  <c r="K75" i="1" s="1"/>
  <c r="K83" i="1" s="1"/>
  <c r="K28" i="1"/>
  <c r="K49" i="1"/>
  <c r="K33" i="1"/>
  <c r="K98" i="1"/>
  <c r="K52" i="1"/>
  <c r="C25" i="2" l="1"/>
  <c r="C24" i="2"/>
  <c r="K71" i="1" l="1"/>
  <c r="G99" i="1"/>
  <c r="K99" i="1" s="1"/>
  <c r="G53" i="1"/>
  <c r="K53" i="1" s="1"/>
  <c r="K123" i="1" l="1"/>
  <c r="K95" i="1"/>
  <c r="K61" i="1"/>
  <c r="K124" i="1" l="1"/>
  <c r="L112" i="1" s="1"/>
  <c r="L119" i="1" l="1"/>
  <c r="L115" i="1"/>
  <c r="L110" i="1"/>
  <c r="L106" i="1"/>
  <c r="L102" i="1"/>
  <c r="L91" i="1"/>
  <c r="L86" i="1"/>
  <c r="L79" i="1"/>
  <c r="L75" i="1"/>
  <c r="L67" i="1"/>
  <c r="L59" i="1"/>
  <c r="L55" i="1"/>
  <c r="L47" i="1"/>
  <c r="L43" i="1"/>
  <c r="L39" i="1"/>
  <c r="L35" i="1"/>
  <c r="L27" i="1"/>
  <c r="L23" i="1"/>
  <c r="L19" i="1"/>
  <c r="L14" i="1"/>
  <c r="L118" i="1"/>
  <c r="L113" i="1"/>
  <c r="L109" i="1"/>
  <c r="L105" i="1"/>
  <c r="L101" i="1"/>
  <c r="L94" i="1"/>
  <c r="L90" i="1"/>
  <c r="L82" i="1"/>
  <c r="L78" i="1"/>
  <c r="L70" i="1"/>
  <c r="L66" i="1"/>
  <c r="L58" i="1"/>
  <c r="L53" i="1"/>
  <c r="L46" i="1"/>
  <c r="L42" i="1"/>
  <c r="L38" i="1"/>
  <c r="L32" i="1"/>
  <c r="L26" i="1"/>
  <c r="L22" i="1"/>
  <c r="L17" i="1"/>
  <c r="L60" i="1"/>
  <c r="L48" i="1"/>
  <c r="L40" i="1"/>
  <c r="L30" i="1"/>
  <c r="L20" i="1"/>
  <c r="L122" i="1"/>
  <c r="L117" i="1"/>
  <c r="L108" i="1"/>
  <c r="L104" i="1"/>
  <c r="L99" i="1"/>
  <c r="L93" i="1"/>
  <c r="L89" i="1"/>
  <c r="L81" i="1"/>
  <c r="L77" i="1"/>
  <c r="L69" i="1"/>
  <c r="L65" i="1"/>
  <c r="L57" i="1"/>
  <c r="L52" i="1"/>
  <c r="L45" i="1"/>
  <c r="L41" i="1"/>
  <c r="L37" i="1"/>
  <c r="L31" i="1"/>
  <c r="L25" i="1"/>
  <c r="L21" i="1"/>
  <c r="L16" i="1"/>
  <c r="L121" i="1"/>
  <c r="L116" i="1"/>
  <c r="L111" i="1"/>
  <c r="L107" i="1"/>
  <c r="L103" i="1"/>
  <c r="L98" i="1"/>
  <c r="L92" i="1"/>
  <c r="L88" i="1"/>
  <c r="L80" i="1"/>
  <c r="L76" i="1"/>
  <c r="L68" i="1"/>
  <c r="L56" i="1"/>
  <c r="L44" i="1"/>
  <c r="L36" i="1"/>
  <c r="L24" i="1"/>
  <c r="L15" i="1"/>
  <c r="L11" i="1"/>
  <c r="L12" i="1" s="1"/>
  <c r="E23" i="2" s="1"/>
  <c r="G23" i="2" s="1"/>
  <c r="L123" i="1" l="1"/>
  <c r="E30" i="2" s="1"/>
  <c r="M30" i="2" s="1"/>
  <c r="M33" i="2" s="1"/>
  <c r="L61" i="1"/>
  <c r="L28" i="1"/>
  <c r="E24" i="2" s="1"/>
  <c r="G24" i="2" s="1"/>
  <c r="L49" i="1"/>
  <c r="L71" i="1"/>
  <c r="L33" i="1"/>
  <c r="L83" i="1"/>
  <c r="L95" i="1" s="1"/>
  <c r="E29" i="2" s="1"/>
  <c r="I29" i="2" s="1"/>
  <c r="K30" i="2" l="1"/>
  <c r="K33" i="2" s="1"/>
  <c r="L124" i="1"/>
  <c r="E28" i="2" l="1"/>
  <c r="I28" i="2" l="1"/>
  <c r="E27" i="2"/>
  <c r="I27" i="2" l="1"/>
  <c r="G27" i="2"/>
  <c r="I33" i="2" l="1"/>
  <c r="E26" i="2"/>
  <c r="G26" i="2" s="1"/>
  <c r="E25" i="2"/>
  <c r="G25" i="2" s="1"/>
  <c r="G33" i="2" l="1"/>
  <c r="G34" i="2" s="1"/>
  <c r="I34" i="2" s="1"/>
  <c r="K34" i="2" s="1"/>
  <c r="M34" i="2" s="1"/>
  <c r="E33" i="2"/>
  <c r="D25" i="2" s="1"/>
  <c r="F26" i="2" l="1"/>
  <c r="L29" i="2"/>
  <c r="E34" i="2"/>
  <c r="J29" i="2"/>
  <c r="H27" i="2"/>
  <c r="F23" i="2"/>
  <c r="F27" i="2"/>
  <c r="D30" i="2"/>
  <c r="J30" i="2"/>
  <c r="D27" i="2"/>
  <c r="L30" i="2"/>
  <c r="D23" i="2"/>
  <c r="D29" i="2"/>
  <c r="D26" i="2"/>
  <c r="H29" i="2"/>
  <c r="L28" i="2"/>
  <c r="F25" i="2"/>
  <c r="L33" i="2" l="1"/>
  <c r="J33" i="2"/>
  <c r="H28" i="2"/>
  <c r="H33" i="2" s="1"/>
  <c r="F28" i="2"/>
  <c r="D24" i="2"/>
  <c r="F24" i="2"/>
  <c r="D28" i="2"/>
  <c r="D33" i="2" l="1"/>
  <c r="D34" i="2" s="1"/>
  <c r="F33" i="2"/>
  <c r="F34" i="2" s="1"/>
  <c r="H34" i="2" s="1"/>
  <c r="J34" i="2" s="1"/>
  <c r="L34" i="2" s="1"/>
</calcChain>
</file>

<file path=xl/sharedStrings.xml><?xml version="1.0" encoding="utf-8"?>
<sst xmlns="http://schemas.openxmlformats.org/spreadsheetml/2006/main" count="468" uniqueCount="275">
  <si>
    <t>Mão-de-obra</t>
  </si>
  <si>
    <t>Item</t>
  </si>
  <si>
    <t>Discriminação dos Serviços</t>
  </si>
  <si>
    <t>Unid</t>
  </si>
  <si>
    <t>1.0</t>
  </si>
  <si>
    <t>1.1</t>
  </si>
  <si>
    <t>2.0</t>
  </si>
  <si>
    <t>3.0</t>
  </si>
  <si>
    <t>3.1</t>
  </si>
  <si>
    <t>3.2</t>
  </si>
  <si>
    <t>4.0</t>
  </si>
  <si>
    <t>4.1</t>
  </si>
  <si>
    <t>5.0</t>
  </si>
  <si>
    <r>
      <t xml:space="preserve">                                                                </t>
    </r>
    <r>
      <rPr>
        <b/>
        <sz val="12"/>
        <rFont val="Arial"/>
        <family val="2"/>
      </rPr>
      <t>ORÇAMENTO DISCRIMINADO</t>
    </r>
  </si>
  <si>
    <t>Quant.</t>
  </si>
  <si>
    <t>m³</t>
  </si>
  <si>
    <t>CAPTAÇÃO</t>
  </si>
  <si>
    <t>ADUÇÃO</t>
  </si>
  <si>
    <t>RESERVAÇÃO</t>
  </si>
  <si>
    <t>REDE DE DISTRIBUIÇÃO</t>
  </si>
  <si>
    <t>4.2</t>
  </si>
  <si>
    <t>TOTAL</t>
  </si>
  <si>
    <t>PROJETO: Sistema de Abastecimento de Água.</t>
  </si>
  <si>
    <t>SERVIÇOS PRELIMINARES</t>
  </si>
  <si>
    <t>un</t>
  </si>
  <si>
    <t>Total do item 1.0</t>
  </si>
  <si>
    <t>m</t>
  </si>
  <si>
    <t>Movimento de Terra</t>
  </si>
  <si>
    <t>DISCRIMINAÇÃO DOS SERVIÇOS</t>
  </si>
  <si>
    <t>CERCAMENTO POÇO ARTESIANO E RESERVATÓRIO DE DISTRIBUIÇÃO</t>
  </si>
  <si>
    <t>6.0</t>
  </si>
  <si>
    <t>SINAPI</t>
  </si>
  <si>
    <t>Clarice M. O. Cordenonsi</t>
  </si>
  <si>
    <t>Egº Civil - CREA 51.635</t>
  </si>
  <si>
    <t>m²</t>
  </si>
  <si>
    <t>FUNDAÇÕES</t>
  </si>
  <si>
    <t>73962/013</t>
  </si>
  <si>
    <t>EQUIPAMENTOS</t>
  </si>
  <si>
    <t>m3</t>
  </si>
  <si>
    <t>7.1</t>
  </si>
  <si>
    <t>7.0</t>
  </si>
  <si>
    <t>74209/001</t>
  </si>
  <si>
    <t>4.3</t>
  </si>
  <si>
    <t>5.1.1</t>
  </si>
  <si>
    <t>5.2</t>
  </si>
  <si>
    <t>5.2.1</t>
  </si>
  <si>
    <t>7.1.1</t>
  </si>
  <si>
    <t>7.1.2</t>
  </si>
  <si>
    <t>7.2.1</t>
  </si>
  <si>
    <t>7.2.2</t>
  </si>
  <si>
    <t>7.2.5</t>
  </si>
  <si>
    <t>CRONOGRAMA FÍSICO FINANCEIRO</t>
  </si>
  <si>
    <t>Peso</t>
  </si>
  <si>
    <t xml:space="preserve">Valor das Obras </t>
  </si>
  <si>
    <t>MESES</t>
  </si>
  <si>
    <t>%</t>
  </si>
  <si>
    <t>e Serviços</t>
  </si>
  <si>
    <t>Mês 1</t>
  </si>
  <si>
    <t>Mês 2</t>
  </si>
  <si>
    <t>Mês 3</t>
  </si>
  <si>
    <t>Mês 4</t>
  </si>
  <si>
    <t>(R$)</t>
  </si>
  <si>
    <t>R$</t>
  </si>
  <si>
    <t>TO-</t>
  </si>
  <si>
    <t>SIMPLES</t>
  </si>
  <si>
    <t>TAL</t>
  </si>
  <si>
    <t>ACUMULADO</t>
  </si>
  <si>
    <t>Prefeito Municipal</t>
  </si>
  <si>
    <t>Mourão inclinado conc. Pré fabricado ( 10x10x 2,30 cm)</t>
  </si>
  <si>
    <t>Mourão reto conc. Pré fabricado ( 10x10x 2,30 cm)</t>
  </si>
  <si>
    <t>und</t>
  </si>
  <si>
    <t>01</t>
  </si>
  <si>
    <t>SISTEMA DE MEDIÇÃO</t>
  </si>
  <si>
    <t>Total do item 4.0</t>
  </si>
  <si>
    <t>6.1</t>
  </si>
  <si>
    <t>7.2</t>
  </si>
  <si>
    <t>um</t>
  </si>
  <si>
    <t>ENTRADA DE ENERGIA</t>
  </si>
  <si>
    <t>2.1</t>
  </si>
  <si>
    <t>Tubos e conexões</t>
  </si>
  <si>
    <t xml:space="preserve">CAIXAS DE INSPEÇÃO </t>
  </si>
  <si>
    <t>5.2.3</t>
  </si>
  <si>
    <t>5.1</t>
  </si>
  <si>
    <t>5.2.4</t>
  </si>
  <si>
    <t>6.1.1</t>
  </si>
  <si>
    <t>Total do item 2.0</t>
  </si>
  <si>
    <t>Total do item 3.0</t>
  </si>
  <si>
    <t>Total do item 5.0</t>
  </si>
  <si>
    <t>Total do item 6.0</t>
  </si>
  <si>
    <t>TOTAL DO ORÇAMENTO</t>
  </si>
  <si>
    <t>Tela arame galvaniz.fio14 ,malha 5x5  altura=1,50m</t>
  </si>
  <si>
    <t>6.2</t>
  </si>
  <si>
    <t>6.2.1</t>
  </si>
  <si>
    <t>6.2.2</t>
  </si>
  <si>
    <t>1</t>
  </si>
  <si>
    <t>chave automática de boia 10A 250v    elétrica</t>
  </si>
  <si>
    <t>73783/005</t>
  </si>
  <si>
    <t>74166/001</t>
  </si>
  <si>
    <t>Rolo fita autofusão 10 m</t>
  </si>
  <si>
    <t>Flange Tampa de Poço 6"</t>
  </si>
  <si>
    <t>laje de isolamento sanitário</t>
  </si>
  <si>
    <t>4.4</t>
  </si>
  <si>
    <t>4.6</t>
  </si>
  <si>
    <t>4.7</t>
  </si>
  <si>
    <t>4.8</t>
  </si>
  <si>
    <t>4.9</t>
  </si>
  <si>
    <t>4.10</t>
  </si>
  <si>
    <t>4.11</t>
  </si>
  <si>
    <t>4.12</t>
  </si>
  <si>
    <t>4.13</t>
  </si>
  <si>
    <t>5.1.2</t>
  </si>
  <si>
    <t>5.3</t>
  </si>
  <si>
    <t>5.3.1</t>
  </si>
  <si>
    <t>7.1.3</t>
  </si>
  <si>
    <t>7.1.4</t>
  </si>
  <si>
    <t>7.1.5</t>
  </si>
  <si>
    <t>7.1.6</t>
  </si>
  <si>
    <t>7.2.3</t>
  </si>
  <si>
    <t>7.2.4</t>
  </si>
  <si>
    <t>7.2.6</t>
  </si>
  <si>
    <t>8.0</t>
  </si>
  <si>
    <t>8.1</t>
  </si>
  <si>
    <t>8.1.1</t>
  </si>
  <si>
    <t>8.1.2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</si>
  <si>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</si>
  <si>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</si>
  <si>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</si>
  <si>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</si>
  <si>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</si>
  <si>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</si>
  <si>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</si>
  <si>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</si>
  <si>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</si>
  <si>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</si>
  <si>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8.3</t>
  </si>
  <si>
    <t>8.3.1</t>
  </si>
  <si>
    <t>8.3.2</t>
  </si>
  <si>
    <t>Total do item 7.1</t>
  </si>
  <si>
    <t>Total do item 7.2</t>
  </si>
  <si>
    <t>Total do item 7.0</t>
  </si>
  <si>
    <t>TOTAL DO ITEM  8.0</t>
  </si>
  <si>
    <t>3.3</t>
  </si>
  <si>
    <t>FECHAMENTO COM TELA E  MOURÕES DE CONCRETO  (20,00 ml)</t>
  </si>
  <si>
    <t>FECHAMENTO COM TELA E  MOURÕES DE CONCRETO  (40,00 ml)</t>
  </si>
  <si>
    <t xml:space="preserve">QUADRO DE COMANDO </t>
  </si>
  <si>
    <t>CURVA PVC PBA JE 90º DE 60mm DN 50 'mm</t>
  </si>
  <si>
    <t xml:space="preserve">blocos de  concreto  armado , 100x100x100 cm - fck  20 MPA </t>
  </si>
  <si>
    <t>Cinta de conc. Armado 15x30cmx37ml -15MPA</t>
  </si>
  <si>
    <t>TE PVC PBA JE DE 60mm DN 50 'mm</t>
  </si>
  <si>
    <t>CURVA PVC PBA JE 45º DE 60 DN 50mm</t>
  </si>
  <si>
    <t>colar de tomada PVC c/ travas saída rosca 32mm DN 50x20mm</t>
  </si>
  <si>
    <t>colar de tomada PVC c/ travas saída 20x20mm</t>
  </si>
  <si>
    <t>Ramais domiciliares</t>
  </si>
  <si>
    <t>74218/001</t>
  </si>
  <si>
    <t>74217/003</t>
  </si>
  <si>
    <t>ml</t>
  </si>
  <si>
    <t>Tubo PVCPBA15JE NBR 5647 DE 60 DN50mm c/ anéis de borracha</t>
  </si>
  <si>
    <t>2.2</t>
  </si>
  <si>
    <t>Cinta de  baldrame e respaldo em conc. Armado 20x30cm-15MPA</t>
  </si>
  <si>
    <t>laje maçiça de concreto armado 15 MPA 1,40x0,60x0,10m</t>
  </si>
  <si>
    <t>PROPRIETÁRIO: Prefeitura Municipal de Jacuizinho - RS.</t>
  </si>
  <si>
    <t>8.2.10</t>
  </si>
  <si>
    <t>8.2.11</t>
  </si>
  <si>
    <t>8.3.3</t>
  </si>
  <si>
    <t>8.3.4</t>
  </si>
  <si>
    <t>8.4</t>
  </si>
  <si>
    <t>8.4.1</t>
  </si>
  <si>
    <t>8.4.2</t>
  </si>
  <si>
    <t>VOLMIR PEDRO CAPISTANI</t>
  </si>
  <si>
    <t>5.2.2</t>
  </si>
  <si>
    <t>VOLMIR PEDRO CAPITANI</t>
  </si>
  <si>
    <t>Cabo pp 750v   4,0 mm²</t>
  </si>
  <si>
    <t>CABO FLEXÍVEL SILMAX  1 kv 2,5mm</t>
  </si>
  <si>
    <t>Tubo PVCPBA20JE NBR 5647 DE 60 DN50mm c/ anéis de borracha</t>
  </si>
  <si>
    <t>2</t>
  </si>
  <si>
    <t>4</t>
  </si>
  <si>
    <t>02</t>
  </si>
  <si>
    <t>Tubos em PVC PBA 15 JE</t>
  </si>
  <si>
    <t>Cinta de conc. Armado 15x30cmx19,10 ml -15MPA</t>
  </si>
  <si>
    <t>Blocos de conc. 40x40x50cm 135 kg/cm² prep / lançam para moirões</t>
  </si>
  <si>
    <t>POSTE CONCRETO SEÇÃO CIRCULAR COMPRIMENTO=7M CARGA NOMINAL TOPO 100KG,INCLUSIVE ESCAVACAO EXCLUSIVE TRANSPORTE - FORNECIMENTO E COLOCAÇÃO</t>
  </si>
  <si>
    <t>ALVENARIA EM TIJOLO CERAMICO MACICO 5X10X20CM 1 VEZ (ESPESSURA 20CM), ASSENTADO COM ARGAMASSA TRACO 1:2:8 (CIMENTO, CAL E AREIA)</t>
  </si>
  <si>
    <t>MASSA ÚNICA, PARA RECEBIMENTO DE PINTURA, EM ARGAMASSA TRAÇO 1:2:8, PREPARO MECÂNICO COM BETONEIRA 400L, APLICADA MANUALMENTE EM FACES INTERNAS DE PAREDES DE AMBIENTES COM ÁREA MENOR QUE 10M2, ESPESSURA DE 20MM</t>
  </si>
  <si>
    <t>PLACA DE OBRA EM CHAPA DE ACO GALVANIZADO (2,00mx1,50m)</t>
  </si>
  <si>
    <t>74052/005</t>
  </si>
  <si>
    <t>73990/001</t>
  </si>
  <si>
    <t>ARMACAO ACO CA-50 P/1,0M3 DE CONCRETO</t>
  </si>
  <si>
    <t>CONCRETO FCK=15MPA (1:2,5:3) , INCLUIDO PREPARO MECANICO, LANCAMENTO E ADENSAMENTO</t>
  </si>
  <si>
    <t>COBERTURA COM TELHA COLONIAL, EXCLUINDO MADEIRAMENTO</t>
  </si>
  <si>
    <t>APLICAÇÃO MANUAL DE PINTURA COM TINTA LÁTEX ACRÍLICA EM PAREDES, DUAS DEMÃOS</t>
  </si>
  <si>
    <t>CONTRAPISO/LASTRO DE CONCRETO NAO-ESTRUTURAL, E=10CM, PREPARO COM BETONEIRA-   100x100x0,10 m ( valores(5cm) x2 (10cm))</t>
  </si>
  <si>
    <t>ESCAVACAO DE VALA NAO ESCORADA EM MATERIAL 1A CATEGORIA , PROFUNDIDADE ATE 1,5 M COM ESCAVADEIRA HIDRAULICA 105 HP(CAPACIDADE DE 0,78M3), SEM ESGOTAMENTO (0,40mx0,90m)</t>
  </si>
  <si>
    <t>73964/003</t>
  </si>
  <si>
    <t>REATERRO VALA/CAVA C/TRATOR 200CV EXCL COMPACTACAO</t>
  </si>
  <si>
    <t>KIT CAVALETE PVC COM REGISTRO 3/4" - FORNECIMENTO E INSTALACAO</t>
  </si>
  <si>
    <t>CAIXA DE INSPEÇÃO EM CONCRETO PRÉ-MOLDADO DN 60MM COM TAMPA H= 60CM -FORNECIMENTO E INSTALACAOAnel de concreto pre moldado diâmetro 60 cm c/ tampa 600mm</t>
  </si>
  <si>
    <t>74115/001</t>
  </si>
  <si>
    <t>EXECUÇÃO DE LASTRO EM CONCRETO (1:2,5:6), PREPARO MANUAL</t>
  </si>
  <si>
    <t>ASSENTAMENTO TUBO PVC COM JUNTA ELASTICA, DN 50 MM -</t>
  </si>
  <si>
    <t>73837/001</t>
  </si>
  <si>
    <t>INSTALACAO DE CONJ.MOTO BOMBA SUBMERSO ATE 5 CV</t>
  </si>
  <si>
    <t>74102/001</t>
  </si>
  <si>
    <t>CAIXA PARA HIDROMETRO CONCRETO PRE-MOLDADO - FORNECIMENTO E INSTALACAO</t>
  </si>
  <si>
    <t>TUBO DE POLIETILENO DE ALTA DENSIDADE (PEAD), PE-80, DE = 20 MM X 2,3 MM DE PAREDE, PARA LIGACAO DE AGUA PREDIAL (NBR 8417)</t>
  </si>
  <si>
    <t>PREÇO UNITÁRIO</t>
  </si>
  <si>
    <t>PREÇO TOTAL</t>
  </si>
  <si>
    <t>COMPOSIÇÕESINSUMOS</t>
  </si>
  <si>
    <t>COMPOSIÇÕES</t>
  </si>
  <si>
    <t>INSUMOS</t>
  </si>
  <si>
    <t>74238/002</t>
  </si>
  <si>
    <t>PORTAO EM TELA ARAME GALVANIZADO N.12 MALHA 2" E MOLDURA EM TUBOS DE ACO COM DUAS FOLHAS DE ABRIR, INCLUSO FERRAGENSgalvanizado 2" ,Portão de tela com arm.aço galvanizado 2" (3,00X1,50)m</t>
  </si>
  <si>
    <t>PORTAO EM TUBO DE ACO GALVANIZADO DIN 2440/NBR 5580, PAINEL UNICO, DIMENSOES 1,0X1,6M, INCLUSIVE CADEADO</t>
  </si>
  <si>
    <t>73907/003</t>
  </si>
  <si>
    <t>FLANGE SEXTAVADO FERRO GALV ROSCA REF. 2"</t>
  </si>
  <si>
    <t>CURVA FERRO GALVANIZADO 90G ROSCA MACHO/FEMEA REF. 2"</t>
  </si>
  <si>
    <t>ADAPTADOR PVC SOLDAVEL, LONGO, COM FLANGE LIVRE, 60 MM X 2", PARA CAIXA D' AGUA</t>
  </si>
  <si>
    <t>CURVA PVC PBA NBR 10351 P/ REDE AGUA JE PB 90G DN 50 /DE 60MM</t>
  </si>
  <si>
    <t>Material  e mão de obra                      (SEM BDI)  (R$)</t>
  </si>
  <si>
    <t>Material  e mão de obra                      (COM BDI)  (R$)</t>
  </si>
  <si>
    <t>ABRIGO  PARA PROTEÇÃO  QUADRO  DE COMANDO</t>
  </si>
  <si>
    <t>2.3</t>
  </si>
  <si>
    <t>2.3.1</t>
  </si>
  <si>
    <t>2.3.2</t>
  </si>
  <si>
    <t>2.3.2.1</t>
  </si>
  <si>
    <t>2.3.2.2</t>
  </si>
  <si>
    <t>2.3.3</t>
  </si>
  <si>
    <t>2.3.4</t>
  </si>
  <si>
    <t>2.3.4.1</t>
  </si>
  <si>
    <t>2.3.4.2</t>
  </si>
  <si>
    <t>2.3.5</t>
  </si>
  <si>
    <t>2.3.6</t>
  </si>
  <si>
    <t>2.3.7</t>
  </si>
  <si>
    <t>6.1.1.1</t>
  </si>
  <si>
    <t>6.1.1.2</t>
  </si>
  <si>
    <t>6.2.3</t>
  </si>
  <si>
    <t>7.1.1.1</t>
  </si>
  <si>
    <t>7.1.2.1</t>
  </si>
  <si>
    <t>7.1.2.2</t>
  </si>
  <si>
    <t>7.2.1.1</t>
  </si>
  <si>
    <t>7.2.2.1</t>
  </si>
  <si>
    <t>7.2.2.2</t>
  </si>
  <si>
    <t>8.2.1.1</t>
  </si>
  <si>
    <t>8.3.1.1</t>
  </si>
  <si>
    <t>REGISTRO PVC ESFERA VS SOLDAVEL DN 50</t>
  </si>
  <si>
    <t>Instalações de entrada de energia, com Quadro de medição de energia monofásica (  cabos;  disjuntor; aterramento) etc.</t>
  </si>
  <si>
    <t>Fundações em concreto ciclópico 50x20 cm 30% pedra de mão</t>
  </si>
  <si>
    <t>EMPRESA</t>
  </si>
  <si>
    <t>ASSENTAMENTO TUBO PEAD</t>
  </si>
  <si>
    <t>LOCAL:  ASSENTAMENTO NOVO HORIZONTE -  Jacuizinho - RS.</t>
  </si>
  <si>
    <t xml:space="preserve">    JACUIZINHO , 20 DE MARÇO  2015</t>
  </si>
  <si>
    <t xml:space="preserve">Adaptador de Compressão PP p/ PVC PBA DN 50 x 1 1/2" </t>
  </si>
  <si>
    <t>União Assento Cônico Bronze Ferro 1 1/ 2" e=3,65mmUNIAO FERRO GALV C/ASSENTO CONICO BRONZE 2"</t>
  </si>
  <si>
    <t>Níple Galvanizado 1 1/2" e=3,65mm</t>
  </si>
  <si>
    <t xml:space="preserve">Curva ferro  Galvanizado  90º  1 1/2" </t>
  </si>
  <si>
    <t>VALVULA DE RETENCAO HORIZONTAL, DE BRONZE (PN-25), 1 1/ 2", 400 PSI, TAMPA DE PORCA DE UNIAO, EXTREMIDADES COM ROSCA</t>
  </si>
  <si>
    <t>73976/006</t>
  </si>
  <si>
    <t>TUBO DE AÇO GALVANIZADO COM COSTURA 1.1/2" (40MM), INCLUSIVE CONEXOES, FORNECIMENTO E INSTALACAO</t>
  </si>
  <si>
    <t>Quadro de comando monofásico/ C/ relé aut.  p/ bomba submersa  3hp -28 estágios cfe memoria de cálculo</t>
  </si>
  <si>
    <t>DOSADOR DE CLORO (estação de tratamento) com  abrigo de proteção em alumínio</t>
  </si>
  <si>
    <t xml:space="preserve">CAIXA D'AGUA FIBRA DE VIDRO PARA 10000 LITROS, COM TAMPA </t>
  </si>
  <si>
    <t>4.5</t>
  </si>
  <si>
    <t>4.13.1</t>
  </si>
  <si>
    <t xml:space="preserve"> TORRE   EM ESTRUTURA METÁLICA , COM ESCADA DE MANUTENÇÃO, CHUMBADORES, DE 6,00M DE ALTURA,  COM FUNDO ANTI CORROSIVO E PINTURA.</t>
  </si>
  <si>
    <t>CAP PVC PBA NBR 10351 P/ REDE AGUA JE DN 50/DE 60 MM</t>
  </si>
  <si>
    <t>tampão pead DE  20mm</t>
  </si>
  <si>
    <t>BDI= COMPOSIÇÕES</t>
  </si>
  <si>
    <t>BDI= INSUMOS</t>
  </si>
  <si>
    <t>Hidrômetro p/ ligações domiciliares</t>
  </si>
  <si>
    <t>Válvura redutora de pressão 2"</t>
  </si>
  <si>
    <t xml:space="preserve">ADAPTADOR DE COMPRESSAO EM POLIPROPILENO (PP), PARA TUBO EM PEAD, 20 MM X 3/4" </t>
  </si>
  <si>
    <t>26</t>
  </si>
  <si>
    <t xml:space="preserve">    JACUIZINHO , 20 DE MARÇO DE 2015</t>
  </si>
  <si>
    <t>LOCAL: Assentamento Novo Horizonte  -  Jacuizinho - RS.</t>
  </si>
  <si>
    <t>Motobomba  SUBMERSA 3 HP -28estágios - monofásica 220 w-TIPO VAMBRO (VBU42 X 28.0,30Y)</t>
  </si>
  <si>
    <t>Hidrômetro  2"  SAÍDA DO RESERVATÓRIO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</si>
</sst>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u/>
      <sz val="8"/>
      <name val="Arial"/>
      <family val="2"/>
    </font>
    <font>
      <u/>
      <sz val="10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87">
    <xf numFmtId="0" fontId="0" fillId="0" borderId="0" xfId="0"/>
    <xf numFmtId="0" fontId="1" fillId="0" borderId="0" xfId="0" applyFont="1"/>
    <xf numFmtId="0" fontId="1" fillId="0" borderId="0" xfId="0" quotePrefix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4" fillId="0" borderId="0" xfId="0" applyFont="1" applyBorder="1" applyAlignment="1">
      <alignment horizontal="center"/>
    </xf>
    <xf numFmtId="164" fontId="0" fillId="0" borderId="0" xfId="1" applyFont="1"/>
    <xf numFmtId="0" fontId="5" fillId="0" borderId="0" xfId="0" applyFont="1" applyAlignment="1">
      <alignment horizontal="centerContinuous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centerContinuous"/>
    </xf>
    <xf numFmtId="164" fontId="0" fillId="0" borderId="0" xfId="0" applyNumberFormat="1"/>
    <xf numFmtId="0" fontId="6" fillId="0" borderId="0" xfId="0" applyFont="1" applyAlignment="1"/>
    <xf numFmtId="0" fontId="6" fillId="0" borderId="0" xfId="0" applyFont="1" applyAlignment="1">
      <alignment horizontal="left"/>
    </xf>
    <xf numFmtId="164" fontId="6" fillId="0" borderId="0" xfId="1" applyFont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/>
    <xf numFmtId="0" fontId="6" fillId="0" borderId="0" xfId="0" quotePrefix="1" applyFont="1" applyAlignment="1">
      <alignment horizontal="centerContinuous"/>
    </xf>
    <xf numFmtId="164" fontId="6" fillId="0" borderId="0" xfId="1" applyFont="1" applyAlignment="1">
      <alignment horizontal="centerContinuous"/>
    </xf>
    <xf numFmtId="0" fontId="10" fillId="3" borderId="2" xfId="0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left"/>
    </xf>
    <xf numFmtId="164" fontId="10" fillId="3" borderId="3" xfId="1" applyFont="1" applyFill="1" applyBorder="1"/>
    <xf numFmtId="164" fontId="10" fillId="3" borderId="3" xfId="1" quotePrefix="1" applyFont="1" applyFill="1" applyBorder="1" applyAlignment="1">
      <alignment horizontal="left"/>
    </xf>
    <xf numFmtId="0" fontId="10" fillId="3" borderId="3" xfId="0" quotePrefix="1" applyFont="1" applyFill="1" applyBorder="1" applyAlignment="1">
      <alignment horizontal="left"/>
    </xf>
    <xf numFmtId="0" fontId="10" fillId="3" borderId="4" xfId="0" applyFont="1" applyFill="1" applyBorder="1"/>
    <xf numFmtId="0" fontId="10" fillId="3" borderId="5" xfId="0" applyFont="1" applyFill="1" applyBorder="1"/>
    <xf numFmtId="0" fontId="10" fillId="3" borderId="0" xfId="0" applyFont="1" applyFill="1" applyBorder="1"/>
    <xf numFmtId="0" fontId="10" fillId="3" borderId="0" xfId="0" applyFont="1" applyFill="1" applyBorder="1" applyAlignment="1">
      <alignment horizontal="left"/>
    </xf>
    <xf numFmtId="164" fontId="10" fillId="3" borderId="0" xfId="1" applyFont="1" applyFill="1" applyBorder="1"/>
    <xf numFmtId="0" fontId="10" fillId="3" borderId="6" xfId="0" applyFont="1" applyFill="1" applyBorder="1"/>
    <xf numFmtId="17" fontId="10" fillId="3" borderId="5" xfId="0" applyNumberFormat="1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5" fillId="2" borderId="0" xfId="0" applyFont="1" applyFill="1" applyBorder="1"/>
    <xf numFmtId="164" fontId="15" fillId="2" borderId="0" xfId="1" applyFont="1" applyFill="1" applyBorder="1"/>
    <xf numFmtId="0" fontId="15" fillId="2" borderId="0" xfId="0" applyFont="1" applyFill="1" applyBorder="1" applyAlignment="1">
      <alignment horizontal="centerContinuous"/>
    </xf>
    <xf numFmtId="0" fontId="19" fillId="0" borderId="10" xfId="0" applyFont="1" applyBorder="1"/>
    <xf numFmtId="0" fontId="19" fillId="0" borderId="11" xfId="0" applyFont="1" applyBorder="1"/>
    <xf numFmtId="0" fontId="19" fillId="0" borderId="0" xfId="0" applyFont="1" applyBorder="1" applyAlignment="1"/>
    <xf numFmtId="49" fontId="19" fillId="0" borderId="0" xfId="0" applyNumberFormat="1" applyFont="1" applyBorder="1" applyAlignment="1"/>
    <xf numFmtId="0" fontId="19" fillId="0" borderId="7" xfId="0" applyFont="1" applyBorder="1"/>
    <xf numFmtId="0" fontId="19" fillId="0" borderId="1" xfId="0" applyFont="1" applyBorder="1"/>
    <xf numFmtId="0" fontId="19" fillId="0" borderId="12" xfId="0" applyFont="1" applyBorder="1"/>
    <xf numFmtId="0" fontId="6" fillId="0" borderId="13" xfId="0" applyFont="1" applyBorder="1"/>
    <xf numFmtId="2" fontId="19" fillId="0" borderId="1" xfId="0" applyNumberFormat="1" applyFont="1" applyBorder="1"/>
    <xf numFmtId="164" fontId="7" fillId="0" borderId="1" xfId="1" applyFont="1" applyBorder="1"/>
    <xf numFmtId="164" fontId="7" fillId="0" borderId="12" xfId="1" applyFont="1" applyBorder="1"/>
    <xf numFmtId="0" fontId="8" fillId="0" borderId="13" xfId="0" applyFont="1" applyBorder="1"/>
    <xf numFmtId="0" fontId="8" fillId="0" borderId="1" xfId="0" applyFont="1" applyBorder="1"/>
    <xf numFmtId="0" fontId="20" fillId="0" borderId="1" xfId="0" applyFont="1" applyBorder="1"/>
    <xf numFmtId="0" fontId="19" fillId="0" borderId="5" xfId="0" applyFont="1" applyBorder="1"/>
    <xf numFmtId="0" fontId="19" fillId="0" borderId="0" xfId="0" applyFont="1" applyBorder="1"/>
    <xf numFmtId="164" fontId="7" fillId="0" borderId="0" xfId="1" applyFont="1" applyBorder="1"/>
    <xf numFmtId="164" fontId="7" fillId="0" borderId="6" xfId="1" applyFont="1" applyBorder="1"/>
    <xf numFmtId="164" fontId="7" fillId="0" borderId="14" xfId="1" applyFont="1" applyBorder="1"/>
    <xf numFmtId="0" fontId="19" fillId="0" borderId="13" xfId="0" applyFont="1" applyBorder="1"/>
    <xf numFmtId="0" fontId="19" fillId="0" borderId="15" xfId="0" applyFont="1" applyBorder="1" applyAlignment="1">
      <alignment horizontal="centerContinuous"/>
    </xf>
    <xf numFmtId="49" fontId="19" fillId="0" borderId="16" xfId="0" applyNumberFormat="1" applyFont="1" applyBorder="1" applyAlignment="1">
      <alignment horizontal="centerContinuous"/>
    </xf>
    <xf numFmtId="0" fontId="19" fillId="0" borderId="15" xfId="0" applyFont="1" applyBorder="1"/>
    <xf numFmtId="49" fontId="19" fillId="0" borderId="17" xfId="0" applyNumberFormat="1" applyFont="1" applyBorder="1"/>
    <xf numFmtId="0" fontId="22" fillId="0" borderId="0" xfId="0" applyFont="1"/>
    <xf numFmtId="0" fontId="15" fillId="2" borderId="5" xfId="0" applyFont="1" applyFill="1" applyBorder="1"/>
    <xf numFmtId="164" fontId="15" fillId="2" borderId="6" xfId="0" applyNumberFormat="1" applyFont="1" applyFill="1" applyBorder="1"/>
    <xf numFmtId="0" fontId="15" fillId="2" borderId="6" xfId="0" applyFont="1" applyFill="1" applyBorder="1"/>
    <xf numFmtId="0" fontId="15" fillId="2" borderId="18" xfId="0" applyFont="1" applyFill="1" applyBorder="1"/>
    <xf numFmtId="0" fontId="15" fillId="2" borderId="8" xfId="0" applyFont="1" applyFill="1" applyBorder="1"/>
    <xf numFmtId="164" fontId="15" fillId="2" borderId="8" xfId="1" applyFont="1" applyFill="1" applyBorder="1"/>
    <xf numFmtId="0" fontId="15" fillId="2" borderId="9" xfId="0" applyFont="1" applyFill="1" applyBorder="1"/>
    <xf numFmtId="164" fontId="18" fillId="0" borderId="0" xfId="0" applyNumberFormat="1" applyFont="1"/>
    <xf numFmtId="164" fontId="15" fillId="2" borderId="0" xfId="0" applyNumberFormat="1" applyFont="1" applyFill="1" applyBorder="1"/>
    <xf numFmtId="164" fontId="14" fillId="4" borderId="12" xfId="1" applyFont="1" applyFill="1" applyBorder="1" applyAlignment="1">
      <alignment horizontal="right"/>
    </xf>
    <xf numFmtId="0" fontId="19" fillId="0" borderId="18" xfId="0" applyFont="1" applyBorder="1"/>
    <xf numFmtId="0" fontId="19" fillId="0" borderId="8" xfId="0" applyFont="1" applyBorder="1"/>
    <xf numFmtId="0" fontId="19" fillId="0" borderId="8" xfId="0" applyFont="1" applyBorder="1" applyAlignment="1">
      <alignment horizontal="centerContinuous"/>
    </xf>
    <xf numFmtId="0" fontId="19" fillId="0" borderId="9" xfId="0" applyFont="1" applyBorder="1" applyAlignment="1">
      <alignment horizontal="centerContinuous"/>
    </xf>
    <xf numFmtId="2" fontId="0" fillId="0" borderId="0" xfId="0" applyNumberFormat="1"/>
    <xf numFmtId="43" fontId="15" fillId="2" borderId="6" xfId="0" applyNumberFormat="1" applyFont="1" applyFill="1" applyBorder="1"/>
    <xf numFmtId="0" fontId="25" fillId="0" borderId="1" xfId="0" applyFont="1" applyBorder="1" applyAlignment="1">
      <alignment horizontal="left"/>
    </xf>
    <xf numFmtId="0" fontId="25" fillId="0" borderId="1" xfId="0" applyFont="1" applyBorder="1"/>
    <xf numFmtId="0" fontId="26" fillId="0" borderId="1" xfId="0" applyFont="1" applyBorder="1" applyAlignment="1">
      <alignment horizontal="center"/>
    </xf>
    <xf numFmtId="164" fontId="26" fillId="0" borderId="1" xfId="1" applyFont="1" applyBorder="1" applyAlignment="1"/>
    <xf numFmtId="164" fontId="26" fillId="0" borderId="1" xfId="1" applyFont="1" applyBorder="1"/>
    <xf numFmtId="0" fontId="19" fillId="6" borderId="2" xfId="0" applyFont="1" applyFill="1" applyBorder="1"/>
    <xf numFmtId="0" fontId="19" fillId="6" borderId="3" xfId="0" applyFont="1" applyFill="1" applyBorder="1"/>
    <xf numFmtId="0" fontId="19" fillId="6" borderId="4" xfId="0" applyFont="1" applyFill="1" applyBorder="1"/>
    <xf numFmtId="0" fontId="19" fillId="6" borderId="0" xfId="0" applyFont="1" applyFill="1" applyBorder="1"/>
    <xf numFmtId="0" fontId="19" fillId="6" borderId="0" xfId="0" quotePrefix="1" applyFont="1" applyFill="1" applyBorder="1" applyAlignment="1">
      <alignment horizontal="left"/>
    </xf>
    <xf numFmtId="0" fontId="19" fillId="6" borderId="6" xfId="0" applyFont="1" applyFill="1" applyBorder="1"/>
    <xf numFmtId="164" fontId="10" fillId="6" borderId="5" xfId="1" applyFont="1" applyFill="1" applyBorder="1"/>
    <xf numFmtId="0" fontId="19" fillId="6" borderId="18" xfId="0" quotePrefix="1" applyFont="1" applyFill="1" applyBorder="1" applyAlignment="1">
      <alignment horizontal="left"/>
    </xf>
    <xf numFmtId="0" fontId="19" fillId="6" borderId="8" xfId="0" applyFont="1" applyFill="1" applyBorder="1"/>
    <xf numFmtId="0" fontId="19" fillId="6" borderId="9" xfId="0" applyFont="1" applyFill="1" applyBorder="1"/>
    <xf numFmtId="164" fontId="15" fillId="6" borderId="0" xfId="1" applyFont="1" applyFill="1" applyBorder="1"/>
    <xf numFmtId="0" fontId="15" fillId="6" borderId="0" xfId="0" applyFont="1" applyFill="1" applyBorder="1"/>
    <xf numFmtId="0" fontId="21" fillId="6" borderId="0" xfId="0" applyFont="1" applyFill="1" applyBorder="1"/>
    <xf numFmtId="0" fontId="21" fillId="6" borderId="0" xfId="0" applyFont="1" applyFill="1" applyBorder="1" applyAlignment="1">
      <alignment horizontal="centerContinuous"/>
    </xf>
    <xf numFmtId="0" fontId="15" fillId="6" borderId="0" xfId="0" applyFont="1" applyFill="1" applyBorder="1" applyAlignment="1">
      <alignment horizontal="centerContinuous"/>
    </xf>
    <xf numFmtId="0" fontId="0" fillId="6" borderId="0" xfId="0" applyFill="1" applyBorder="1"/>
    <xf numFmtId="0" fontId="19" fillId="0" borderId="19" xfId="0" applyFont="1" applyBorder="1"/>
    <xf numFmtId="0" fontId="19" fillId="0" borderId="14" xfId="0" applyFont="1" applyBorder="1"/>
    <xf numFmtId="164" fontId="7" fillId="0" borderId="20" xfId="1" applyFont="1" applyBorder="1"/>
    <xf numFmtId="0" fontId="19" fillId="6" borderId="21" xfId="0" applyFont="1" applyFill="1" applyBorder="1"/>
    <xf numFmtId="164" fontId="15" fillId="6" borderId="22" xfId="1" applyFont="1" applyFill="1" applyBorder="1"/>
    <xf numFmtId="0" fontId="19" fillId="6" borderId="22" xfId="0" applyFont="1" applyFill="1" applyBorder="1"/>
    <xf numFmtId="0" fontId="19" fillId="6" borderId="23" xfId="0" applyFont="1" applyFill="1" applyBorder="1"/>
    <xf numFmtId="164" fontId="15" fillId="6" borderId="24" xfId="1" applyFont="1" applyFill="1" applyBorder="1"/>
    <xf numFmtId="0" fontId="21" fillId="6" borderId="25" xfId="0" applyFont="1" applyFill="1" applyBorder="1" applyAlignment="1">
      <alignment horizontal="centerContinuous"/>
    </xf>
    <xf numFmtId="0" fontId="15" fillId="6" borderId="24" xfId="0" applyFont="1" applyFill="1" applyBorder="1"/>
    <xf numFmtId="0" fontId="0" fillId="6" borderId="25" xfId="0" applyFill="1" applyBorder="1"/>
    <xf numFmtId="0" fontId="15" fillId="6" borderId="15" xfId="0" applyFont="1" applyFill="1" applyBorder="1"/>
    <xf numFmtId="0" fontId="15" fillId="6" borderId="26" xfId="0" applyFont="1" applyFill="1" applyBorder="1"/>
    <xf numFmtId="164" fontId="15" fillId="6" borderId="26" xfId="1" applyFont="1" applyFill="1" applyBorder="1"/>
    <xf numFmtId="0" fontId="0" fillId="6" borderId="26" xfId="0" applyFill="1" applyBorder="1"/>
    <xf numFmtId="0" fontId="0" fillId="6" borderId="16" xfId="0" applyFill="1" applyBorder="1"/>
    <xf numFmtId="0" fontId="14" fillId="0" borderId="1" xfId="0" applyFont="1" applyBorder="1"/>
    <xf numFmtId="164" fontId="14" fillId="0" borderId="1" xfId="1" applyFont="1" applyBorder="1"/>
    <xf numFmtId="0" fontId="26" fillId="0" borderId="1" xfId="0" applyFont="1" applyBorder="1" applyAlignment="1">
      <alignment horizontal="left"/>
    </xf>
    <xf numFmtId="0" fontId="26" fillId="0" borderId="1" xfId="0" applyFont="1" applyBorder="1"/>
    <xf numFmtId="0" fontId="12" fillId="4" borderId="1" xfId="0" applyFont="1" applyFill="1" applyBorder="1"/>
    <xf numFmtId="164" fontId="12" fillId="4" borderId="1" xfId="1" applyFont="1" applyFill="1" applyBorder="1"/>
    <xf numFmtId="164" fontId="12" fillId="4" borderId="1" xfId="1" applyFont="1" applyFill="1" applyBorder="1" applyAlignment="1">
      <alignment horizontal="right"/>
    </xf>
    <xf numFmtId="2" fontId="26" fillId="0" borderId="1" xfId="0" applyNumberFormat="1" applyFont="1" applyBorder="1"/>
    <xf numFmtId="164" fontId="26" fillId="0" borderId="1" xfId="1" applyFont="1" applyBorder="1" applyAlignment="1">
      <alignment horizontal="right"/>
    </xf>
    <xf numFmtId="164" fontId="26" fillId="0" borderId="12" xfId="1" applyFont="1" applyBorder="1"/>
    <xf numFmtId="0" fontId="25" fillId="0" borderId="1" xfId="0" applyFont="1" applyBorder="1" applyAlignment="1">
      <alignment horizontal="center"/>
    </xf>
    <xf numFmtId="164" fontId="25" fillId="0" borderId="1" xfId="1" applyFont="1" applyBorder="1" applyAlignment="1"/>
    <xf numFmtId="164" fontId="25" fillId="0" borderId="1" xfId="1" applyFont="1" applyBorder="1"/>
    <xf numFmtId="2" fontId="25" fillId="0" borderId="1" xfId="0" applyNumberFormat="1" applyFont="1" applyBorder="1"/>
    <xf numFmtId="164" fontId="25" fillId="0" borderId="1" xfId="1" applyFont="1" applyBorder="1" applyAlignment="1">
      <alignment horizontal="right"/>
    </xf>
    <xf numFmtId="164" fontId="25" fillId="0" borderId="12" xfId="1" applyFont="1" applyBorder="1"/>
    <xf numFmtId="0" fontId="26" fillId="4" borderId="1" xfId="0" applyFont="1" applyFill="1" applyBorder="1" applyAlignment="1">
      <alignment horizontal="center"/>
    </xf>
    <xf numFmtId="164" fontId="26" fillId="4" borderId="1" xfId="1" applyFont="1" applyFill="1" applyBorder="1" applyAlignment="1"/>
    <xf numFmtId="164" fontId="26" fillId="4" borderId="1" xfId="1" applyFont="1" applyFill="1" applyBorder="1"/>
    <xf numFmtId="0" fontId="26" fillId="4" borderId="1" xfId="0" applyFont="1" applyFill="1" applyBorder="1"/>
    <xf numFmtId="164" fontId="26" fillId="4" borderId="1" xfId="1" applyFont="1" applyFill="1" applyBorder="1" applyAlignment="1">
      <alignment horizontal="right"/>
    </xf>
    <xf numFmtId="164" fontId="26" fillId="4" borderId="12" xfId="1" applyFont="1" applyFill="1" applyBorder="1" applyAlignment="1">
      <alignment horizontal="right"/>
    </xf>
    <xf numFmtId="164" fontId="26" fillId="2" borderId="1" xfId="1" applyFont="1" applyFill="1" applyBorder="1" applyAlignment="1"/>
    <xf numFmtId="0" fontId="29" fillId="0" borderId="1" xfId="0" applyFont="1" applyBorder="1"/>
    <xf numFmtId="0" fontId="14" fillId="2" borderId="1" xfId="0" applyFont="1" applyFill="1" applyBorder="1" applyAlignment="1">
      <alignment horizontal="center"/>
    </xf>
    <xf numFmtId="164" fontId="12" fillId="2" borderId="1" xfId="1" applyFont="1" applyFill="1" applyBorder="1" applyAlignment="1">
      <alignment horizontal="center"/>
    </xf>
    <xf numFmtId="164" fontId="14" fillId="2" borderId="1" xfId="1" applyFont="1" applyFill="1" applyBorder="1"/>
    <xf numFmtId="0" fontId="14" fillId="2" borderId="1" xfId="0" applyFont="1" applyFill="1" applyBorder="1"/>
    <xf numFmtId="164" fontId="14" fillId="0" borderId="1" xfId="1" applyFont="1" applyBorder="1" applyAlignment="1">
      <alignment horizontal="right"/>
    </xf>
    <xf numFmtId="2" fontId="26" fillId="4" borderId="1" xfId="0" applyNumberFormat="1" applyFont="1" applyFill="1" applyBorder="1"/>
    <xf numFmtId="164" fontId="26" fillId="0" borderId="1" xfId="1" applyFont="1" applyBorder="1" applyAlignment="1">
      <alignment horizontal="center"/>
    </xf>
    <xf numFmtId="164" fontId="26" fillId="0" borderId="1" xfId="1" applyNumberFormat="1" applyFont="1" applyBorder="1" applyAlignment="1">
      <alignment horizontal="center"/>
    </xf>
    <xf numFmtId="165" fontId="26" fillId="0" borderId="1" xfId="1" applyNumberFormat="1" applyFont="1" applyBorder="1" applyAlignment="1">
      <alignment horizontal="center"/>
    </xf>
    <xf numFmtId="164" fontId="26" fillId="2" borderId="1" xfId="1" applyFont="1" applyFill="1" applyBorder="1"/>
    <xf numFmtId="49" fontId="26" fillId="0" borderId="1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left"/>
    </xf>
    <xf numFmtId="0" fontId="26" fillId="2" borderId="1" xfId="0" applyFont="1" applyFill="1" applyBorder="1" applyAlignment="1">
      <alignment horizontal="center"/>
    </xf>
    <xf numFmtId="2" fontId="26" fillId="2" borderId="1" xfId="0" applyNumberFormat="1" applyFont="1" applyFill="1" applyBorder="1"/>
    <xf numFmtId="164" fontId="26" fillId="2" borderId="1" xfId="1" applyFont="1" applyFill="1" applyBorder="1" applyAlignment="1">
      <alignment horizontal="right"/>
    </xf>
    <xf numFmtId="164" fontId="26" fillId="2" borderId="12" xfId="1" applyFont="1" applyFill="1" applyBorder="1" applyAlignment="1">
      <alignment horizontal="right"/>
    </xf>
    <xf numFmtId="164" fontId="26" fillId="4" borderId="1" xfId="1" applyFont="1" applyFill="1" applyBorder="1" applyAlignment="1">
      <alignment horizontal="center"/>
    </xf>
    <xf numFmtId="164" fontId="26" fillId="4" borderId="12" xfId="1" applyFont="1" applyFill="1" applyBorder="1"/>
    <xf numFmtId="0" fontId="29" fillId="0" borderId="1" xfId="0" applyFont="1" applyBorder="1" applyAlignment="1">
      <alignment horizontal="center"/>
    </xf>
    <xf numFmtId="164" fontId="29" fillId="0" borderId="1" xfId="1" applyFont="1" applyBorder="1"/>
    <xf numFmtId="0" fontId="14" fillId="0" borderId="1" xfId="0" applyFont="1" applyBorder="1" applyAlignment="1">
      <alignment horizontal="center"/>
    </xf>
    <xf numFmtId="0" fontId="29" fillId="0" borderId="1" xfId="0" applyFont="1" applyBorder="1" applyAlignment="1">
      <alignment horizontal="left"/>
    </xf>
    <xf numFmtId="2" fontId="26" fillId="0" borderId="1" xfId="0" applyNumberFormat="1" applyFont="1" applyBorder="1" applyAlignment="1"/>
    <xf numFmtId="0" fontId="12" fillId="0" borderId="1" xfId="0" applyFont="1" applyBorder="1"/>
    <xf numFmtId="0" fontId="14" fillId="0" borderId="1" xfId="0" applyFont="1" applyBorder="1" applyAlignment="1">
      <alignment horizontal="left"/>
    </xf>
    <xf numFmtId="164" fontId="26" fillId="4" borderId="12" xfId="1" applyFont="1" applyFill="1" applyBorder="1" applyAlignment="1"/>
    <xf numFmtId="164" fontId="26" fillId="0" borderId="1" xfId="1" applyFont="1" applyBorder="1" applyAlignment="1">
      <alignment horizontal="left"/>
    </xf>
    <xf numFmtId="0" fontId="26" fillId="0" borderId="1" xfId="0" applyFont="1" applyBorder="1" applyAlignment="1">
      <alignment horizontal="center" vertical="center"/>
    </xf>
    <xf numFmtId="164" fontId="26" fillId="2" borderId="1" xfId="1" applyFont="1" applyFill="1" applyBorder="1" applyAlignment="1">
      <alignment vertical="center"/>
    </xf>
    <xf numFmtId="0" fontId="26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164" fontId="14" fillId="2" borderId="1" xfId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4" fontId="26" fillId="0" borderId="1" xfId="1" applyFont="1" applyBorder="1" applyAlignment="1">
      <alignment vertical="center"/>
    </xf>
    <xf numFmtId="2" fontId="26" fillId="0" borderId="1" xfId="0" applyNumberFormat="1" applyFont="1" applyBorder="1" applyAlignment="1">
      <alignment vertical="center"/>
    </xf>
    <xf numFmtId="164" fontId="26" fillId="0" borderId="1" xfId="1" applyFont="1" applyBorder="1" applyAlignment="1">
      <alignment horizontal="right" vertical="center"/>
    </xf>
    <xf numFmtId="0" fontId="26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/>
    </xf>
    <xf numFmtId="0" fontId="29" fillId="0" borderId="1" xfId="0" applyFont="1" applyBorder="1" applyAlignment="1">
      <alignment horizontal="center" vertical="center"/>
    </xf>
    <xf numFmtId="164" fontId="29" fillId="0" borderId="1" xfId="1" applyFont="1" applyBorder="1" applyAlignment="1">
      <alignment vertical="center"/>
    </xf>
    <xf numFmtId="164" fontId="14" fillId="0" borderId="1" xfId="1" applyFont="1" applyBorder="1" applyAlignment="1">
      <alignment vertical="center"/>
    </xf>
    <xf numFmtId="164" fontId="10" fillId="0" borderId="1" xfId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1" applyFont="1" applyBorder="1" applyAlignment="1">
      <alignment horizontal="center" vertical="center"/>
    </xf>
    <xf numFmtId="17" fontId="10" fillId="3" borderId="0" xfId="0" applyNumberFormat="1" applyFont="1" applyFill="1" applyBorder="1"/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/>
    <xf numFmtId="0" fontId="23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vertical="center"/>
    </xf>
    <xf numFmtId="0" fontId="23" fillId="0" borderId="1" xfId="0" applyFont="1" applyBorder="1"/>
    <xf numFmtId="0" fontId="23" fillId="0" borderId="1" xfId="0" applyFont="1" applyBorder="1" applyAlignment="1">
      <alignment vertical="center"/>
    </xf>
    <xf numFmtId="0" fontId="24" fillId="0" borderId="1" xfId="0" applyFont="1" applyBorder="1"/>
    <xf numFmtId="0" fontId="24" fillId="0" borderId="1" xfId="0" applyFont="1" applyBorder="1" applyAlignment="1">
      <alignment vertical="top"/>
    </xf>
    <xf numFmtId="0" fontId="28" fillId="0" borderId="1" xfId="0" applyFont="1" applyBorder="1" applyAlignment="1">
      <alignment vertical="center"/>
    </xf>
    <xf numFmtId="0" fontId="16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vertical="center"/>
    </xf>
    <xf numFmtId="0" fontId="23" fillId="0" borderId="1" xfId="0" applyFont="1" applyBorder="1" applyAlignment="1">
      <alignment vertical="top"/>
    </xf>
    <xf numFmtId="0" fontId="28" fillId="0" borderId="1" xfId="0" applyFont="1" applyBorder="1" applyAlignment="1">
      <alignment wrapText="1"/>
    </xf>
    <xf numFmtId="0" fontId="25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7" fillId="0" borderId="1" xfId="0" applyFont="1" applyBorder="1"/>
    <xf numFmtId="0" fontId="28" fillId="0" borderId="1" xfId="0" applyFont="1" applyBorder="1" applyAlignment="1">
      <alignment vertical="top"/>
    </xf>
    <xf numFmtId="0" fontId="12" fillId="0" borderId="1" xfId="0" applyFont="1" applyBorder="1" applyAlignment="1">
      <alignment wrapText="1"/>
    </xf>
    <xf numFmtId="3" fontId="31" fillId="0" borderId="1" xfId="0" applyNumberFormat="1" applyFont="1" applyBorder="1" applyAlignment="1">
      <alignment vertical="center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3" fontId="31" fillId="0" borderId="1" xfId="0" applyNumberFormat="1" applyFont="1" applyBorder="1" applyAlignment="1">
      <alignment vertical="top"/>
    </xf>
    <xf numFmtId="0" fontId="28" fillId="0" borderId="1" xfId="0" applyFont="1" applyBorder="1" applyAlignment="1">
      <alignment vertical="top" wrapText="1"/>
    </xf>
    <xf numFmtId="164" fontId="26" fillId="0" borderId="1" xfId="1" applyFont="1" applyBorder="1" applyAlignment="1">
      <alignment horizontal="center" vertical="top"/>
    </xf>
    <xf numFmtId="165" fontId="26" fillId="0" borderId="1" xfId="1" applyNumberFormat="1" applyFont="1" applyBorder="1" applyAlignment="1">
      <alignment vertical="top"/>
    </xf>
    <xf numFmtId="164" fontId="26" fillId="0" borderId="1" xfId="1" applyFont="1" applyBorder="1" applyAlignment="1">
      <alignment vertical="top"/>
    </xf>
    <xf numFmtId="164" fontId="26" fillId="0" borderId="1" xfId="1" applyFont="1" applyBorder="1" applyAlignment="1">
      <alignment horizontal="right" vertical="top"/>
    </xf>
    <xf numFmtId="164" fontId="26" fillId="0" borderId="12" xfId="1" applyFont="1" applyBorder="1" applyAlignment="1">
      <alignment vertical="top"/>
    </xf>
    <xf numFmtId="0" fontId="26" fillId="0" borderId="1" xfId="0" applyFont="1" applyBorder="1" applyAlignment="1">
      <alignment horizontal="center" vertical="top"/>
    </xf>
    <xf numFmtId="2" fontId="26" fillId="0" borderId="1" xfId="0" applyNumberFormat="1" applyFont="1" applyBorder="1" applyAlignment="1">
      <alignment vertical="top"/>
    </xf>
    <xf numFmtId="3" fontId="23" fillId="0" borderId="27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top"/>
    </xf>
    <xf numFmtId="0" fontId="28" fillId="0" borderId="2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top"/>
    </xf>
    <xf numFmtId="0" fontId="23" fillId="0" borderId="2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2" fillId="0" borderId="1" xfId="0" applyFont="1" applyBorder="1" applyAlignment="1">
      <alignment wrapText="1"/>
    </xf>
    <xf numFmtId="0" fontId="28" fillId="0" borderId="27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top" wrapText="1"/>
    </xf>
    <xf numFmtId="3" fontId="31" fillId="0" borderId="1" xfId="0" applyNumberFormat="1" applyFont="1" applyBorder="1" applyAlignment="1">
      <alignment vertical="top" wrapText="1"/>
    </xf>
    <xf numFmtId="0" fontId="14" fillId="0" borderId="27" xfId="0" applyFont="1" applyBorder="1" applyAlignment="1">
      <alignment horizontal="center" vertical="top"/>
    </xf>
    <xf numFmtId="164" fontId="26" fillId="0" borderId="12" xfId="1" applyFont="1" applyBorder="1" applyAlignment="1">
      <alignment vertical="center"/>
    </xf>
    <xf numFmtId="164" fontId="26" fillId="0" borderId="12" xfId="1" applyFont="1" applyBorder="1" applyAlignment="1">
      <alignment horizontal="center"/>
    </xf>
    <xf numFmtId="0" fontId="17" fillId="2" borderId="0" xfId="0" applyFont="1" applyFill="1" applyBorder="1"/>
    <xf numFmtId="0" fontId="26" fillId="0" borderId="1" xfId="0" applyFont="1" applyBorder="1" applyAlignment="1" applyProtection="1">
      <alignment horizontal="left" wrapText="1"/>
      <protection locked="0"/>
    </xf>
    <xf numFmtId="164" fontId="26" fillId="0" borderId="1" xfId="1" applyNumberFormat="1" applyFont="1" applyBorder="1" applyAlignment="1">
      <alignment horizontal="center" vertical="top"/>
    </xf>
    <xf numFmtId="0" fontId="10" fillId="3" borderId="18" xfId="0" applyFont="1" applyFill="1" applyBorder="1"/>
    <xf numFmtId="0" fontId="10" fillId="3" borderId="8" xfId="0" applyFont="1" applyFill="1" applyBorder="1"/>
    <xf numFmtId="0" fontId="10" fillId="3" borderId="8" xfId="0" applyFont="1" applyFill="1" applyBorder="1" applyAlignment="1">
      <alignment horizontal="left"/>
    </xf>
    <xf numFmtId="164" fontId="10" fillId="3" borderId="8" xfId="1" applyFont="1" applyFill="1" applyBorder="1"/>
    <xf numFmtId="9" fontId="10" fillId="3" borderId="9" xfId="0" applyNumberFormat="1" applyFont="1" applyFill="1" applyBorder="1"/>
    <xf numFmtId="0" fontId="14" fillId="0" borderId="1" xfId="0" applyFont="1" applyBorder="1" applyAlignment="1">
      <alignment vertical="top" wrapText="1"/>
    </xf>
    <xf numFmtId="0" fontId="15" fillId="0" borderId="27" xfId="0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164" fontId="12" fillId="0" borderId="1" xfId="1" applyFont="1" applyBorder="1" applyAlignment="1"/>
    <xf numFmtId="164" fontId="12" fillId="0" borderId="1" xfId="1" applyFont="1" applyBorder="1"/>
    <xf numFmtId="49" fontId="12" fillId="0" borderId="1" xfId="0" applyNumberFormat="1" applyFont="1" applyBorder="1" applyAlignment="1">
      <alignment horizontal="left"/>
    </xf>
    <xf numFmtId="0" fontId="15" fillId="0" borderId="27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top"/>
    </xf>
    <xf numFmtId="164" fontId="29" fillId="0" borderId="1" xfId="1" applyFont="1" applyBorder="1" applyAlignment="1">
      <alignment vertical="top"/>
    </xf>
    <xf numFmtId="164" fontId="14" fillId="0" borderId="1" xfId="1" applyFont="1" applyBorder="1" applyAlignment="1">
      <alignment vertical="top"/>
    </xf>
    <xf numFmtId="164" fontId="14" fillId="2" borderId="1" xfId="1" applyFont="1" applyFill="1" applyBorder="1" applyAlignment="1">
      <alignment vertical="top"/>
    </xf>
    <xf numFmtId="49" fontId="26" fillId="0" borderId="1" xfId="0" applyNumberFormat="1" applyFont="1" applyBorder="1" applyAlignment="1">
      <alignment horizontal="center" vertical="top"/>
    </xf>
    <xf numFmtId="164" fontId="26" fillId="0" borderId="12" xfId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 vertical="top" wrapText="1"/>
    </xf>
    <xf numFmtId="49" fontId="26" fillId="0" borderId="1" xfId="0" applyNumberFormat="1" applyFont="1" applyBorder="1" applyAlignment="1">
      <alignment horizontal="center" vertical="center"/>
    </xf>
    <xf numFmtId="164" fontId="14" fillId="0" borderId="1" xfId="1" applyFont="1" applyBorder="1" applyAlignment="1">
      <alignment horizontal="right" vertical="center"/>
    </xf>
    <xf numFmtId="164" fontId="26" fillId="0" borderId="1" xfId="1" applyFont="1" applyBorder="1" applyAlignment="1">
      <alignment horizontal="center" vertical="center"/>
    </xf>
    <xf numFmtId="10" fontId="11" fillId="3" borderId="0" xfId="0" applyNumberFormat="1" applyFont="1" applyFill="1" applyBorder="1" applyAlignment="1">
      <alignment horizontal="center"/>
    </xf>
    <xf numFmtId="10" fontId="11" fillId="3" borderId="8" xfId="0" applyNumberFormat="1" applyFont="1" applyFill="1" applyBorder="1" applyAlignment="1">
      <alignment horizontal="center"/>
    </xf>
    <xf numFmtId="0" fontId="23" fillId="5" borderId="28" xfId="0" applyFont="1" applyFill="1" applyBorder="1"/>
    <xf numFmtId="0" fontId="23" fillId="5" borderId="29" xfId="0" applyFont="1" applyFill="1" applyBorder="1"/>
    <xf numFmtId="0" fontId="24" fillId="0" borderId="29" xfId="0" applyFont="1" applyBorder="1"/>
    <xf numFmtId="164" fontId="23" fillId="5" borderId="29" xfId="1" applyFont="1" applyFill="1" applyBorder="1"/>
    <xf numFmtId="164" fontId="23" fillId="5" borderId="29" xfId="1" applyFont="1" applyFill="1" applyBorder="1" applyAlignment="1">
      <alignment horizontal="right"/>
    </xf>
    <xf numFmtId="0" fontId="23" fillId="5" borderId="29" xfId="0" applyFont="1" applyFill="1" applyBorder="1" applyAlignment="1">
      <alignment horizontal="right"/>
    </xf>
    <xf numFmtId="164" fontId="30" fillId="0" borderId="29" xfId="1" applyFont="1" applyBorder="1" applyAlignment="1">
      <alignment horizontal="right"/>
    </xf>
    <xf numFmtId="17" fontId="3" fillId="0" borderId="30" xfId="0" applyNumberFormat="1" applyFont="1" applyBorder="1" applyAlignment="1">
      <alignment vertical="center"/>
    </xf>
    <xf numFmtId="17" fontId="3" fillId="0" borderId="31" xfId="0" applyNumberFormat="1" applyFont="1" applyBorder="1"/>
    <xf numFmtId="0" fontId="13" fillId="0" borderId="31" xfId="0" applyFont="1" applyBorder="1"/>
    <xf numFmtId="0" fontId="13" fillId="0" borderId="31" xfId="0" applyFont="1" applyBorder="1" applyAlignment="1">
      <alignment horizontal="left"/>
    </xf>
    <xf numFmtId="164" fontId="13" fillId="0" borderId="31" xfId="1" applyFont="1" applyBorder="1"/>
    <xf numFmtId="164" fontId="6" fillId="0" borderId="31" xfId="1" applyFont="1" applyBorder="1"/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164" fontId="25" fillId="0" borderId="12" xfId="1" applyFont="1" applyBorder="1" applyAlignment="1">
      <alignment horizontal="right"/>
    </xf>
    <xf numFmtId="0" fontId="23" fillId="0" borderId="7" xfId="0" applyFont="1" applyBorder="1"/>
    <xf numFmtId="164" fontId="30" fillId="0" borderId="33" xfId="1" applyFont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N51"/>
  <sheetViews>
    <sheetView workbookViewId="0">
      <selection activeCell="C50" sqref="C50"/>
    </sheetView>
  </sheetViews>
  <sheetFormatPr defaultRowHeight="12.75" x14ac:dyDescent="0.2"/>
  <cols>
    <col min="2" max="2" width="4.42578125" customWidth="1"/>
    <col min="3" max="3" width="52.140625" customWidth="1"/>
    <col min="4" max="4" width="7.7109375" customWidth="1"/>
    <col min="5" max="5" width="11.85546875" customWidth="1"/>
    <col min="6" max="6" width="6.5703125" customWidth="1"/>
    <col min="7" max="7" width="9.85546875" customWidth="1"/>
    <col min="8" max="8" width="6.28515625" customWidth="1"/>
    <col min="9" max="9" width="11.28515625" customWidth="1"/>
    <col min="10" max="10" width="6.85546875" customWidth="1"/>
    <col min="11" max="11" width="10.7109375" customWidth="1"/>
    <col min="12" max="12" width="6.7109375" customWidth="1"/>
    <col min="13" max="13" width="10.5703125" customWidth="1"/>
  </cols>
  <sheetData>
    <row r="8" spans="2:13" x14ac:dyDescent="0.2">
      <c r="B8" s="8"/>
      <c r="D8" s="7"/>
      <c r="E8" s="7"/>
      <c r="F8" s="7"/>
      <c r="G8" s="3"/>
      <c r="H8" s="3"/>
    </row>
    <row r="9" spans="2:13" x14ac:dyDescent="0.2">
      <c r="C9" s="11"/>
      <c r="D9" s="3"/>
      <c r="E9" s="3"/>
      <c r="F9" s="3"/>
      <c r="G9" s="3"/>
      <c r="H9" s="3"/>
    </row>
    <row r="12" spans="2:13" ht="20.25" x14ac:dyDescent="0.3">
      <c r="B12" s="13" t="s">
        <v>51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 ht="13.5" thickBo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 ht="13.5" thickBot="1" x14ac:dyDescent="0.25"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</row>
    <row r="15" spans="2:13" x14ac:dyDescent="0.2">
      <c r="B15" s="24" t="s">
        <v>22</v>
      </c>
      <c r="C15" s="89"/>
      <c r="D15" s="90"/>
      <c r="E15" s="89"/>
      <c r="F15" s="89"/>
      <c r="G15" s="90"/>
      <c r="H15" s="89"/>
      <c r="I15" s="89"/>
      <c r="J15" s="89"/>
      <c r="K15" s="89"/>
      <c r="L15" s="89"/>
      <c r="M15" s="91"/>
    </row>
    <row r="16" spans="2:13" x14ac:dyDescent="0.2">
      <c r="B16" s="31" t="s">
        <v>272</v>
      </c>
      <c r="C16" s="89"/>
      <c r="D16" s="90"/>
      <c r="E16" s="89"/>
      <c r="F16" s="89"/>
      <c r="G16" s="90"/>
      <c r="H16" s="89"/>
      <c r="I16" s="89"/>
      <c r="J16" s="89"/>
      <c r="K16" s="89"/>
      <c r="L16" s="89"/>
      <c r="M16" s="91"/>
    </row>
    <row r="17" spans="2:13" x14ac:dyDescent="0.2">
      <c r="B17" s="31" t="s">
        <v>160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91"/>
    </row>
    <row r="18" spans="2:13" x14ac:dyDescent="0.2">
      <c r="B18" s="92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91"/>
    </row>
    <row r="19" spans="2:13" ht="13.5" thickBot="1" x14ac:dyDescent="0.25">
      <c r="B19" s="93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5"/>
    </row>
    <row r="20" spans="2:13" ht="13.5" thickBot="1" x14ac:dyDescent="0.25">
      <c r="B20" s="75" t="s">
        <v>1</v>
      </c>
      <c r="C20" s="76" t="s">
        <v>28</v>
      </c>
      <c r="D20" s="76" t="s">
        <v>52</v>
      </c>
      <c r="E20" s="76" t="s">
        <v>53</v>
      </c>
      <c r="F20" s="76"/>
      <c r="G20" s="77" t="s">
        <v>54</v>
      </c>
      <c r="H20" s="77"/>
      <c r="I20" s="77"/>
      <c r="J20" s="77"/>
      <c r="K20" s="77"/>
      <c r="L20" s="77"/>
      <c r="M20" s="78"/>
    </row>
    <row r="21" spans="2:13" x14ac:dyDescent="0.2">
      <c r="B21" s="41"/>
      <c r="C21" s="59"/>
      <c r="D21" s="59" t="s">
        <v>55</v>
      </c>
      <c r="E21" s="59" t="s">
        <v>56</v>
      </c>
      <c r="F21" s="42"/>
      <c r="G21" s="43" t="s">
        <v>57</v>
      </c>
      <c r="H21" s="60"/>
      <c r="I21" s="43" t="s">
        <v>58</v>
      </c>
      <c r="J21" s="60"/>
      <c r="K21" s="61" t="s">
        <v>59</v>
      </c>
      <c r="L21" s="62"/>
      <c r="M21" s="63" t="s">
        <v>60</v>
      </c>
    </row>
    <row r="22" spans="2:13" x14ac:dyDescent="0.2">
      <c r="B22" s="44"/>
      <c r="C22" s="45"/>
      <c r="D22" s="45"/>
      <c r="E22" s="45" t="s">
        <v>61</v>
      </c>
      <c r="F22" s="45" t="s">
        <v>55</v>
      </c>
      <c r="G22" s="45" t="s">
        <v>62</v>
      </c>
      <c r="H22" s="45" t="s">
        <v>55</v>
      </c>
      <c r="I22" s="45" t="s">
        <v>62</v>
      </c>
      <c r="J22" s="45" t="s">
        <v>55</v>
      </c>
      <c r="K22" s="45" t="s">
        <v>62</v>
      </c>
      <c r="L22" s="45" t="s">
        <v>55</v>
      </c>
      <c r="M22" s="46" t="s">
        <v>62</v>
      </c>
    </row>
    <row r="23" spans="2:13" x14ac:dyDescent="0.2">
      <c r="B23" s="44">
        <v>1</v>
      </c>
      <c r="C23" s="47" t="s">
        <v>23</v>
      </c>
      <c r="D23" s="48">
        <f>(E23/E33)*100</f>
        <v>0.5853686595491564</v>
      </c>
      <c r="E23" s="49">
        <f>'ORÇAMENTO '!L12</f>
        <v>0.5853686595491564</v>
      </c>
      <c r="F23" s="49">
        <f>G23/E33*100</f>
        <v>0.5853686595491564</v>
      </c>
      <c r="G23" s="49">
        <f>E23</f>
        <v>0.5853686595491564</v>
      </c>
      <c r="H23" s="49"/>
      <c r="I23" s="49"/>
      <c r="J23" s="49"/>
      <c r="K23" s="49"/>
      <c r="L23" s="49"/>
      <c r="M23" s="50"/>
    </row>
    <row r="24" spans="2:13" x14ac:dyDescent="0.2">
      <c r="B24" s="44">
        <v>2</v>
      </c>
      <c r="C24" s="47" t="str">
        <f>'ORÇAMENTO '!E13</f>
        <v>ENTRADA DE ENERGIA</v>
      </c>
      <c r="D24" s="48">
        <f>(E24/E34)*100</f>
        <v>1.6402352117479688</v>
      </c>
      <c r="E24" s="49">
        <f>'ORÇAMENTO '!L28</f>
        <v>1.6402352117479686</v>
      </c>
      <c r="F24" s="49">
        <f>G24/E34*100</f>
        <v>1.6402352117479688</v>
      </c>
      <c r="G24" s="49">
        <f>E24</f>
        <v>1.6402352117479686</v>
      </c>
      <c r="H24" s="49"/>
      <c r="I24" s="49"/>
      <c r="J24" s="49"/>
      <c r="K24" s="49"/>
      <c r="L24" s="49"/>
      <c r="M24" s="50"/>
    </row>
    <row r="25" spans="2:13" x14ac:dyDescent="0.2">
      <c r="B25" s="44">
        <v>3</v>
      </c>
      <c r="C25" s="51" t="str">
        <f>'ORÇAMENTO '!E29</f>
        <v xml:space="preserve">QUADRO DE COMANDO </v>
      </c>
      <c r="D25" s="48">
        <f>(E25/E33)*100</f>
        <v>1.2646565226359836</v>
      </c>
      <c r="E25" s="49">
        <f>'ORÇAMENTO '!L33</f>
        <v>1.2646565226359836</v>
      </c>
      <c r="F25" s="49">
        <f>G25/E33*100</f>
        <v>1.2646565226359836</v>
      </c>
      <c r="G25" s="49">
        <f>E25</f>
        <v>1.2646565226359836</v>
      </c>
      <c r="H25" s="49"/>
      <c r="I25" s="49"/>
      <c r="J25" s="49"/>
      <c r="K25" s="49"/>
      <c r="L25" s="49"/>
      <c r="M25" s="50"/>
    </row>
    <row r="26" spans="2:13" x14ac:dyDescent="0.2">
      <c r="B26" s="44">
        <v>4</v>
      </c>
      <c r="C26" s="52" t="s">
        <v>16</v>
      </c>
      <c r="D26" s="48">
        <f>(E26/E33)*100</f>
        <v>13.008611462770434</v>
      </c>
      <c r="E26" s="49">
        <f>'ORÇAMENTO '!L49</f>
        <v>13.008611462770434</v>
      </c>
      <c r="F26" s="49">
        <f>G26/E33*100</f>
        <v>13.008611462770434</v>
      </c>
      <c r="G26" s="49">
        <f>E26</f>
        <v>13.008611462770434</v>
      </c>
      <c r="H26" s="49"/>
      <c r="I26" s="49"/>
      <c r="J26" s="49"/>
      <c r="K26" s="49"/>
      <c r="L26" s="49"/>
      <c r="M26" s="50"/>
    </row>
    <row r="27" spans="2:13" x14ac:dyDescent="0.2">
      <c r="B27" s="44">
        <v>5</v>
      </c>
      <c r="C27" s="52" t="s">
        <v>17</v>
      </c>
      <c r="D27" s="48">
        <f>(E27/E33)*100</f>
        <v>0.99299128230295963</v>
      </c>
      <c r="E27" s="49">
        <f>'ORÇAMENTO '!L61</f>
        <v>0.99299128230295963</v>
      </c>
      <c r="F27" s="49">
        <f>G27/E33*100</f>
        <v>0.49649564115147982</v>
      </c>
      <c r="G27" s="49">
        <f>E27/2</f>
        <v>0.49649564115147982</v>
      </c>
      <c r="H27" s="49">
        <f>I27/E33*100</f>
        <v>0.49649564115147982</v>
      </c>
      <c r="I27" s="49">
        <f>E27/2</f>
        <v>0.49649564115147982</v>
      </c>
      <c r="J27" s="49"/>
      <c r="K27" s="49"/>
      <c r="L27" s="49"/>
      <c r="M27" s="50"/>
    </row>
    <row r="28" spans="2:13" ht="13.5" x14ac:dyDescent="0.25">
      <c r="B28" s="44">
        <v>6</v>
      </c>
      <c r="C28" s="53" t="s">
        <v>18</v>
      </c>
      <c r="D28" s="48">
        <f>(E28/E34)*100</f>
        <v>11.848368873942988</v>
      </c>
      <c r="E28" s="49">
        <f>'ORÇAMENTO '!L71</f>
        <v>11.848368873942988</v>
      </c>
      <c r="F28" s="49">
        <f t="shared" ref="F28" si="0">G28/E34*100</f>
        <v>0</v>
      </c>
      <c r="G28" s="49"/>
      <c r="H28" s="49">
        <f>I28/E34*100</f>
        <v>11.848368873942988</v>
      </c>
      <c r="I28" s="49">
        <f>E28</f>
        <v>11.848368873942988</v>
      </c>
      <c r="J28" s="49"/>
      <c r="K28" s="49"/>
      <c r="L28" s="49">
        <f>M28/E33*100</f>
        <v>0</v>
      </c>
      <c r="M28" s="50"/>
    </row>
    <row r="29" spans="2:13" x14ac:dyDescent="0.2">
      <c r="B29" s="44">
        <v>7</v>
      </c>
      <c r="C29" s="12" t="s">
        <v>29</v>
      </c>
      <c r="D29" s="48">
        <f>(E29/E33)*100</f>
        <v>7.5453389171064558</v>
      </c>
      <c r="E29" s="49">
        <f>'ORÇAMENTO '!L95</f>
        <v>7.5453389171064567</v>
      </c>
      <c r="F29" s="49"/>
      <c r="G29" s="49"/>
      <c r="H29" s="49">
        <f>I29/E33*100</f>
        <v>7.5453389171064558</v>
      </c>
      <c r="I29" s="49">
        <f>E29</f>
        <v>7.5453389171064567</v>
      </c>
      <c r="J29" s="49">
        <f>K29/E33*100</f>
        <v>0</v>
      </c>
      <c r="K29" s="49"/>
      <c r="L29" s="49">
        <f>M29/E33*100</f>
        <v>0</v>
      </c>
      <c r="M29" s="50"/>
    </row>
    <row r="30" spans="2:13" x14ac:dyDescent="0.2">
      <c r="B30" s="44">
        <v>8</v>
      </c>
      <c r="C30" s="52" t="s">
        <v>19</v>
      </c>
      <c r="D30" s="48">
        <f>(E30/E33)*100</f>
        <v>63.114429069944059</v>
      </c>
      <c r="E30" s="49">
        <f>'ORÇAMENTO '!L123</f>
        <v>63.114429069944059</v>
      </c>
      <c r="F30" s="49"/>
      <c r="G30" s="49"/>
      <c r="H30" s="49"/>
      <c r="I30" s="49"/>
      <c r="J30" s="49">
        <f>K30/E33*100</f>
        <v>31.557214534972029</v>
      </c>
      <c r="K30" s="49">
        <f>E30/2</f>
        <v>31.557214534972029</v>
      </c>
      <c r="L30" s="49">
        <f>M30/E33*100</f>
        <v>31.557214534972029</v>
      </c>
      <c r="M30" s="50">
        <f>E30/2</f>
        <v>31.557214534972029</v>
      </c>
    </row>
    <row r="31" spans="2:13" x14ac:dyDescent="0.2">
      <c r="B31" s="44"/>
      <c r="C31" s="52"/>
      <c r="D31" s="48"/>
      <c r="E31" s="49"/>
      <c r="F31" s="49"/>
      <c r="G31" s="49"/>
      <c r="H31" s="49"/>
      <c r="I31" s="49"/>
      <c r="J31" s="49"/>
      <c r="K31" s="49"/>
      <c r="L31" s="49"/>
      <c r="M31" s="50"/>
    </row>
    <row r="32" spans="2:13" x14ac:dyDescent="0.2">
      <c r="B32" s="54"/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2:14" x14ac:dyDescent="0.2">
      <c r="B33" s="40" t="s">
        <v>63</v>
      </c>
      <c r="C33" s="45" t="s">
        <v>64</v>
      </c>
      <c r="D33" s="49">
        <f t="shared" ref="D33:M33" si="1">SUM(D23:D31)</f>
        <v>100</v>
      </c>
      <c r="E33" s="49">
        <f>E23+E24+E25+E26+E27+E28+E29+E30</f>
        <v>100</v>
      </c>
      <c r="F33" s="49">
        <f t="shared" si="1"/>
        <v>16.995367497855021</v>
      </c>
      <c r="G33" s="49">
        <f t="shared" si="1"/>
        <v>16.995367497855021</v>
      </c>
      <c r="H33" s="49">
        <f t="shared" si="1"/>
        <v>19.890203432200924</v>
      </c>
      <c r="I33" s="49">
        <f t="shared" si="1"/>
        <v>19.890203432200924</v>
      </c>
      <c r="J33" s="49">
        <f t="shared" si="1"/>
        <v>31.557214534972029</v>
      </c>
      <c r="K33" s="49">
        <f t="shared" si="1"/>
        <v>31.557214534972029</v>
      </c>
      <c r="L33" s="49">
        <f t="shared" si="1"/>
        <v>31.557214534972029</v>
      </c>
      <c r="M33" s="50">
        <f t="shared" si="1"/>
        <v>31.557214534972029</v>
      </c>
    </row>
    <row r="34" spans="2:14" x14ac:dyDescent="0.2">
      <c r="B34" s="102" t="s">
        <v>65</v>
      </c>
      <c r="C34" s="103" t="s">
        <v>66</v>
      </c>
      <c r="D34" s="49">
        <f>D33</f>
        <v>100</v>
      </c>
      <c r="E34" s="58">
        <f>E33</f>
        <v>100</v>
      </c>
      <c r="F34" s="58">
        <f>F33</f>
        <v>16.995367497855021</v>
      </c>
      <c r="G34" s="58">
        <f>G33</f>
        <v>16.995367497855021</v>
      </c>
      <c r="H34" s="58">
        <f t="shared" ref="H34:M34" si="2">F34+H33</f>
        <v>36.885570930055948</v>
      </c>
      <c r="I34" s="58">
        <f t="shared" si="2"/>
        <v>36.885570930055948</v>
      </c>
      <c r="J34" s="58">
        <f t="shared" si="2"/>
        <v>68.442785465027981</v>
      </c>
      <c r="K34" s="58">
        <f t="shared" si="2"/>
        <v>68.442785465027981</v>
      </c>
      <c r="L34" s="58">
        <f t="shared" si="2"/>
        <v>100.00000000000001</v>
      </c>
      <c r="M34" s="104">
        <f t="shared" si="2"/>
        <v>100.00000000000001</v>
      </c>
    </row>
    <row r="35" spans="2:14" ht="13.5" x14ac:dyDescent="0.25">
      <c r="B35" s="105"/>
      <c r="C35" s="106"/>
      <c r="D35" s="106"/>
      <c r="E35" s="107"/>
      <c r="F35" s="107"/>
      <c r="G35" s="107"/>
      <c r="H35" s="107"/>
      <c r="I35" s="107"/>
      <c r="J35" s="107"/>
      <c r="K35" s="107"/>
      <c r="L35" s="107"/>
      <c r="M35" s="108"/>
    </row>
    <row r="36" spans="2:14" ht="13.5" x14ac:dyDescent="0.25">
      <c r="B36" s="109"/>
      <c r="C36" s="97" t="s">
        <v>271</v>
      </c>
      <c r="D36" s="96"/>
      <c r="E36" s="96"/>
      <c r="F36" s="96"/>
      <c r="G36" s="96"/>
      <c r="H36" s="96"/>
      <c r="I36" s="97"/>
      <c r="J36" s="97"/>
      <c r="K36" s="98"/>
      <c r="L36" s="99"/>
      <c r="M36" s="110"/>
      <c r="N36" s="64"/>
    </row>
    <row r="37" spans="2:14" ht="13.5" x14ac:dyDescent="0.25">
      <c r="B37" s="111"/>
      <c r="C37" s="97"/>
      <c r="D37" s="97"/>
      <c r="E37" s="96"/>
      <c r="F37" s="96"/>
      <c r="G37" s="96"/>
      <c r="H37" s="96"/>
      <c r="I37" s="97"/>
      <c r="J37" s="100"/>
      <c r="K37" s="98"/>
      <c r="L37" s="99"/>
      <c r="M37" s="110"/>
      <c r="N37" s="64"/>
    </row>
    <row r="38" spans="2:14" ht="13.5" x14ac:dyDescent="0.25">
      <c r="B38" s="111"/>
      <c r="C38" s="97"/>
      <c r="D38" s="97" t="s">
        <v>67</v>
      </c>
      <c r="E38" s="96"/>
      <c r="F38" s="96"/>
      <c r="G38" s="96"/>
      <c r="H38" s="96"/>
      <c r="I38" s="97"/>
      <c r="J38" s="100"/>
      <c r="K38" s="101"/>
      <c r="L38" s="101"/>
      <c r="M38" s="112"/>
    </row>
    <row r="39" spans="2:14" ht="13.5" x14ac:dyDescent="0.25">
      <c r="B39" s="111"/>
      <c r="C39" s="97" t="s">
        <v>32</v>
      </c>
      <c r="D39" s="97" t="s">
        <v>170</v>
      </c>
      <c r="E39" s="97"/>
      <c r="F39" s="97"/>
      <c r="G39" s="96"/>
      <c r="H39" s="96"/>
      <c r="I39" s="97"/>
      <c r="J39" s="97"/>
      <c r="K39" s="101"/>
      <c r="L39" s="101"/>
      <c r="M39" s="112"/>
    </row>
    <row r="40" spans="2:14" ht="13.5" x14ac:dyDescent="0.25">
      <c r="B40" s="111"/>
      <c r="C40" s="97" t="s">
        <v>33</v>
      </c>
      <c r="D40" s="97"/>
      <c r="E40" s="96"/>
      <c r="F40" s="96"/>
      <c r="G40" s="96"/>
      <c r="H40" s="96"/>
      <c r="I40" s="97"/>
      <c r="J40" s="97"/>
      <c r="K40" s="101"/>
      <c r="L40" s="101"/>
      <c r="M40" s="112"/>
    </row>
    <row r="41" spans="2:14" ht="13.5" x14ac:dyDescent="0.25">
      <c r="B41" s="113"/>
      <c r="C41" s="114"/>
      <c r="D41" s="114"/>
      <c r="E41" s="115"/>
      <c r="F41" s="115"/>
      <c r="G41" s="116"/>
      <c r="H41" s="116"/>
      <c r="I41" s="116"/>
      <c r="J41" s="116"/>
      <c r="K41" s="116"/>
      <c r="L41" s="116"/>
      <c r="M41" s="117"/>
    </row>
    <row r="42" spans="2:14" x14ac:dyDescent="0.2">
      <c r="G42" s="79"/>
      <c r="I42" s="79"/>
    </row>
    <row r="43" spans="2:14" x14ac:dyDescent="0.2">
      <c r="G43" s="79"/>
      <c r="I43" s="79"/>
    </row>
    <row r="44" spans="2:14" x14ac:dyDescent="0.2">
      <c r="G44" s="79"/>
      <c r="I44" s="79"/>
    </row>
    <row r="45" spans="2:14" x14ac:dyDescent="0.2">
      <c r="G45" s="79"/>
      <c r="I45" s="79"/>
    </row>
    <row r="46" spans="2:14" x14ac:dyDescent="0.2">
      <c r="G46" s="79"/>
      <c r="I46" s="79"/>
    </row>
    <row r="47" spans="2:14" x14ac:dyDescent="0.2">
      <c r="G47" s="79"/>
      <c r="I47" s="79"/>
    </row>
    <row r="48" spans="2:14" x14ac:dyDescent="0.2">
      <c r="G48" s="79"/>
      <c r="I48" s="79"/>
    </row>
    <row r="49" spans="7:9" x14ac:dyDescent="0.2">
      <c r="G49" s="79"/>
      <c r="I49" s="79"/>
    </row>
    <row r="51" spans="7:9" x14ac:dyDescent="0.2">
      <c r="G51" s="79"/>
    </row>
  </sheetData>
  <phoneticPr fontId="7" type="noConversion"/>
  <printOptions horizontalCentered="1"/>
  <pageMargins left="0" right="0" top="0" bottom="0" header="0.11811023622047245" footer="0.31496062992125984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4"/>
  <sheetViews>
    <sheetView tabSelected="1" workbookViewId="0">
      <selection activeCell="N14" sqref="N14"/>
    </sheetView>
  </sheetViews>
  <sheetFormatPr defaultColWidth="11.42578125" defaultRowHeight="12.75" x14ac:dyDescent="0.2"/>
  <cols>
    <col min="1" max="1" width="0.5703125" customWidth="1"/>
    <col min="2" max="2" width="9.42578125" customWidth="1"/>
    <col min="3" max="3" width="10.85546875" customWidth="1"/>
    <col min="4" max="4" width="6.140625" customWidth="1"/>
    <col min="5" max="5" width="63.42578125" customWidth="1"/>
    <col min="6" max="6" width="5.42578125" customWidth="1"/>
    <col min="7" max="7" width="9.7109375" style="10" customWidth="1"/>
    <col min="8" max="8" width="14" style="10" customWidth="1"/>
    <col min="9" max="9" width="14.28515625" style="10" customWidth="1"/>
    <col min="10" max="10" width="0.42578125" hidden="1" customWidth="1"/>
    <col min="11" max="11" width="12.5703125" customWidth="1"/>
    <col min="12" max="12" width="10" customWidth="1"/>
  </cols>
  <sheetData>
    <row r="1" spans="2:15" ht="6.75" customHeight="1" x14ac:dyDescent="0.2"/>
    <row r="2" spans="2:15" s="1" customFormat="1" ht="15" customHeight="1" x14ac:dyDescent="0.25">
      <c r="B2" s="8" t="s">
        <v>13</v>
      </c>
      <c r="C2" s="8"/>
      <c r="D2" s="15"/>
      <c r="E2" s="16"/>
      <c r="F2" s="16"/>
      <c r="G2" s="17"/>
      <c r="H2" s="17"/>
      <c r="I2" s="17"/>
      <c r="J2" s="18"/>
      <c r="K2" s="18"/>
      <c r="L2" s="19"/>
    </row>
    <row r="3" spans="2:15" s="1" customFormat="1" ht="15" customHeight="1" thickBot="1" x14ac:dyDescent="0.25">
      <c r="B3" s="2"/>
      <c r="C3" s="2"/>
      <c r="D3" s="20"/>
      <c r="E3" s="18"/>
      <c r="F3" s="18"/>
      <c r="G3" s="21"/>
      <c r="H3" s="21"/>
      <c r="I3" s="21"/>
      <c r="J3" s="18"/>
      <c r="K3" s="18"/>
      <c r="L3" s="19"/>
    </row>
    <row r="4" spans="2:15" s="6" customFormat="1" ht="15" customHeight="1" x14ac:dyDescent="0.2">
      <c r="B4" s="22"/>
      <c r="C4" s="23"/>
      <c r="D4" s="23"/>
      <c r="E4" s="24" t="s">
        <v>22</v>
      </c>
      <c r="F4" s="23"/>
      <c r="G4" s="25"/>
      <c r="H4" s="25"/>
      <c r="I4" s="26"/>
      <c r="J4" s="27"/>
      <c r="K4" s="23"/>
      <c r="L4" s="28"/>
    </row>
    <row r="5" spans="2:15" s="6" customFormat="1" ht="15" customHeight="1" x14ac:dyDescent="0.2">
      <c r="B5" s="29"/>
      <c r="C5" s="30"/>
      <c r="D5" s="30"/>
      <c r="E5" s="31" t="s">
        <v>248</v>
      </c>
      <c r="F5" s="30"/>
      <c r="G5" s="32"/>
      <c r="H5" s="32"/>
      <c r="I5" s="32"/>
      <c r="J5" s="30"/>
      <c r="K5" s="30"/>
      <c r="L5" s="33"/>
    </row>
    <row r="6" spans="2:15" s="6" customFormat="1" ht="15" customHeight="1" x14ac:dyDescent="0.2">
      <c r="B6" s="34"/>
      <c r="C6" s="188"/>
      <c r="D6" s="30"/>
      <c r="E6" s="31" t="s">
        <v>160</v>
      </c>
      <c r="F6" s="30"/>
      <c r="G6" s="32"/>
      <c r="H6" s="32" t="s">
        <v>265</v>
      </c>
      <c r="I6" s="32"/>
      <c r="J6" s="30"/>
      <c r="K6" s="266">
        <v>0.26440000000000002</v>
      </c>
      <c r="L6" s="33"/>
    </row>
    <row r="7" spans="2:15" s="6" customFormat="1" ht="15" customHeight="1" thickBot="1" x14ac:dyDescent="0.25">
      <c r="B7" s="244"/>
      <c r="C7" s="245"/>
      <c r="D7" s="245"/>
      <c r="E7" s="246"/>
      <c r="F7" s="245"/>
      <c r="G7" s="247"/>
      <c r="H7" s="247" t="s">
        <v>266</v>
      </c>
      <c r="I7" s="247"/>
      <c r="J7" s="245"/>
      <c r="K7" s="267">
        <v>0.16800000000000001</v>
      </c>
      <c r="L7" s="248"/>
    </row>
    <row r="8" spans="2:15" ht="15" customHeight="1" x14ac:dyDescent="0.25">
      <c r="B8" s="275">
        <v>42036</v>
      </c>
      <c r="C8" s="276"/>
      <c r="D8" s="277"/>
      <c r="E8" s="278"/>
      <c r="F8" s="277"/>
      <c r="G8" s="279"/>
      <c r="H8" s="280" t="s">
        <v>204</v>
      </c>
      <c r="I8" s="280" t="s">
        <v>204</v>
      </c>
      <c r="J8" s="277"/>
      <c r="K8" s="281" t="s">
        <v>205</v>
      </c>
      <c r="L8" s="282"/>
    </row>
    <row r="9" spans="2:15" s="9" customFormat="1" ht="36" x14ac:dyDescent="0.2">
      <c r="B9" s="189" t="s">
        <v>31</v>
      </c>
      <c r="C9" s="192" t="s">
        <v>206</v>
      </c>
      <c r="D9" s="186" t="s">
        <v>1</v>
      </c>
      <c r="E9" s="186" t="s">
        <v>2</v>
      </c>
      <c r="F9" s="186" t="s">
        <v>3</v>
      </c>
      <c r="G9" s="187" t="s">
        <v>14</v>
      </c>
      <c r="H9" s="185" t="s">
        <v>217</v>
      </c>
      <c r="I9" s="185" t="s">
        <v>218</v>
      </c>
      <c r="J9" s="35" t="s">
        <v>0</v>
      </c>
      <c r="K9" s="35" t="s">
        <v>61</v>
      </c>
      <c r="L9" s="283" t="s">
        <v>55</v>
      </c>
    </row>
    <row r="10" spans="2:15" s="5" customFormat="1" ht="15" customHeight="1" x14ac:dyDescent="0.2">
      <c r="B10" s="190"/>
      <c r="C10" s="36"/>
      <c r="D10" s="36" t="s">
        <v>4</v>
      </c>
      <c r="E10" s="36" t="s">
        <v>23</v>
      </c>
      <c r="F10" s="122"/>
      <c r="G10" s="123"/>
      <c r="H10" s="123"/>
      <c r="I10" s="123"/>
      <c r="J10" s="122"/>
      <c r="K10" s="124"/>
      <c r="L10" s="74"/>
    </row>
    <row r="11" spans="2:15" s="5" customFormat="1" ht="15" customHeight="1" x14ac:dyDescent="0.25">
      <c r="B11" s="223" t="s">
        <v>41</v>
      </c>
      <c r="C11" s="193" t="s">
        <v>207</v>
      </c>
      <c r="D11" s="194" t="s">
        <v>5</v>
      </c>
      <c r="E11" s="121" t="s">
        <v>183</v>
      </c>
      <c r="F11" s="83" t="s">
        <v>34</v>
      </c>
      <c r="G11" s="84">
        <v>3</v>
      </c>
      <c r="H11" s="85">
        <v>218.81</v>
      </c>
      <c r="I11" s="85">
        <f>H11*1.2644</f>
        <v>276.663364</v>
      </c>
      <c r="J11" s="125"/>
      <c r="K11" s="126">
        <f>I11*G11</f>
        <v>829.990092</v>
      </c>
      <c r="L11" s="127">
        <f>K11*100/K124</f>
        <v>0.5853686595491564</v>
      </c>
    </row>
    <row r="12" spans="2:15" s="5" customFormat="1" ht="15" customHeight="1" x14ac:dyDescent="0.25">
      <c r="B12" s="191"/>
      <c r="C12" s="195"/>
      <c r="D12" s="194"/>
      <c r="E12" s="82" t="s">
        <v>25</v>
      </c>
      <c r="F12" s="128"/>
      <c r="G12" s="129"/>
      <c r="H12" s="130"/>
      <c r="I12" s="130"/>
      <c r="J12" s="131"/>
      <c r="K12" s="132">
        <f>K11</f>
        <v>829.990092</v>
      </c>
      <c r="L12" s="284">
        <f>L11</f>
        <v>0.5853686595491564</v>
      </c>
    </row>
    <row r="13" spans="2:15" s="5" customFormat="1" ht="15" customHeight="1" x14ac:dyDescent="0.25">
      <c r="B13" s="191"/>
      <c r="C13" s="195"/>
      <c r="D13" s="196" t="s">
        <v>6</v>
      </c>
      <c r="E13" s="82" t="s">
        <v>77</v>
      </c>
      <c r="F13" s="134"/>
      <c r="G13" s="135"/>
      <c r="H13" s="136"/>
      <c r="I13" s="136"/>
      <c r="J13" s="137"/>
      <c r="K13" s="138"/>
      <c r="L13" s="139"/>
    </row>
    <row r="14" spans="2:15" s="5" customFormat="1" ht="36" x14ac:dyDescent="0.2">
      <c r="B14" s="224" t="s">
        <v>96</v>
      </c>
      <c r="C14" s="214" t="s">
        <v>207</v>
      </c>
      <c r="D14" s="197" t="s">
        <v>78</v>
      </c>
      <c r="E14" s="171" t="s">
        <v>180</v>
      </c>
      <c r="F14" s="169" t="s">
        <v>24</v>
      </c>
      <c r="G14" s="170">
        <v>1</v>
      </c>
      <c r="H14" s="170">
        <v>446</v>
      </c>
      <c r="I14" s="177">
        <f t="shared" ref="I14:I15" si="0">H14*1.2644</f>
        <v>563.92240000000004</v>
      </c>
      <c r="J14" s="170"/>
      <c r="K14" s="179">
        <f t="shared" ref="K14:K15" si="1">I14*G14</f>
        <v>563.92240000000004</v>
      </c>
      <c r="L14" s="239">
        <f>K14*100/K124</f>
        <v>0.39771860237789824</v>
      </c>
    </row>
    <row r="15" spans="2:15" s="5" customFormat="1" ht="28.5" x14ac:dyDescent="0.2">
      <c r="B15" s="224" t="s">
        <v>184</v>
      </c>
      <c r="C15" s="214" t="s">
        <v>207</v>
      </c>
      <c r="D15" s="197" t="s">
        <v>157</v>
      </c>
      <c r="E15" s="234" t="s">
        <v>244</v>
      </c>
      <c r="F15" s="169" t="s">
        <v>24</v>
      </c>
      <c r="G15" s="170">
        <v>1</v>
      </c>
      <c r="H15" s="170">
        <v>904.38</v>
      </c>
      <c r="I15" s="177">
        <f t="shared" si="0"/>
        <v>1143.4980719999999</v>
      </c>
      <c r="J15" s="170"/>
      <c r="K15" s="179">
        <f t="shared" si="1"/>
        <v>1143.4980719999999</v>
      </c>
      <c r="L15" s="239">
        <f>K15*100/K124</f>
        <v>0.80647701708189135</v>
      </c>
      <c r="O15" s="132">
        <f>SUM(O1:O14)</f>
        <v>0</v>
      </c>
    </row>
    <row r="16" spans="2:15" s="5" customFormat="1" ht="15" customHeight="1" x14ac:dyDescent="0.25">
      <c r="B16" s="225"/>
      <c r="C16" s="198"/>
      <c r="D16" s="199" t="s">
        <v>220</v>
      </c>
      <c r="E16" s="141" t="s">
        <v>219</v>
      </c>
      <c r="F16" s="143"/>
      <c r="G16" s="143"/>
      <c r="H16" s="143"/>
      <c r="I16" s="143"/>
      <c r="J16" s="143"/>
      <c r="K16" s="143"/>
      <c r="L16" s="127">
        <f>K16*100/K124</f>
        <v>0</v>
      </c>
    </row>
    <row r="17" spans="2:12" s="5" customFormat="1" ht="15" customHeight="1" x14ac:dyDescent="0.25">
      <c r="B17" s="225">
        <v>73361</v>
      </c>
      <c r="C17" s="193" t="s">
        <v>207</v>
      </c>
      <c r="D17" s="200" t="s">
        <v>221</v>
      </c>
      <c r="E17" s="118" t="s">
        <v>245</v>
      </c>
      <c r="F17" s="142" t="s">
        <v>15</v>
      </c>
      <c r="G17" s="143">
        <v>0.1</v>
      </c>
      <c r="H17" s="144">
        <f>215.1+86.04</f>
        <v>301.14</v>
      </c>
      <c r="I17" s="85">
        <f t="shared" ref="I17:I27" si="2">H17*1.2644</f>
        <v>380.761416</v>
      </c>
      <c r="J17" s="145"/>
      <c r="K17" s="126">
        <f t="shared" ref="K17:K27" si="3">I17*G17</f>
        <v>38.0761416</v>
      </c>
      <c r="L17" s="127">
        <f>K17*100/K124</f>
        <v>2.6854031372215308E-2</v>
      </c>
    </row>
    <row r="18" spans="2:12" s="5" customFormat="1" ht="15" customHeight="1" x14ac:dyDescent="0.25">
      <c r="B18" s="225"/>
      <c r="C18" s="198"/>
      <c r="D18" s="200" t="s">
        <v>222</v>
      </c>
      <c r="E18" s="141" t="s">
        <v>158</v>
      </c>
      <c r="F18" s="142"/>
      <c r="G18" s="143"/>
      <c r="H18" s="144"/>
      <c r="I18" s="85"/>
      <c r="J18" s="145"/>
      <c r="K18" s="126"/>
      <c r="L18" s="127"/>
    </row>
    <row r="19" spans="2:12" s="5" customFormat="1" ht="15" customHeight="1" x14ac:dyDescent="0.25">
      <c r="B19" s="225" t="s">
        <v>185</v>
      </c>
      <c r="C19" s="193" t="s">
        <v>207</v>
      </c>
      <c r="D19" s="200" t="s">
        <v>223</v>
      </c>
      <c r="E19" s="118" t="s">
        <v>186</v>
      </c>
      <c r="F19" s="142" t="s">
        <v>15</v>
      </c>
      <c r="G19" s="143">
        <v>0.1</v>
      </c>
      <c r="H19" s="144">
        <f>372+111.58</f>
        <v>483.58</v>
      </c>
      <c r="I19" s="85">
        <f t="shared" si="2"/>
        <v>611.43855199999996</v>
      </c>
      <c r="J19" s="145"/>
      <c r="K19" s="126">
        <f t="shared" si="3"/>
        <v>61.143855199999997</v>
      </c>
      <c r="L19" s="240">
        <f>K19*100/K124</f>
        <v>4.3123040748408975E-2</v>
      </c>
    </row>
    <row r="20" spans="2:12" s="5" customFormat="1" ht="24" x14ac:dyDescent="0.2">
      <c r="B20" s="230">
        <v>73406</v>
      </c>
      <c r="C20" s="214" t="s">
        <v>207</v>
      </c>
      <c r="D20" s="208" t="s">
        <v>224</v>
      </c>
      <c r="E20" s="172" t="s">
        <v>187</v>
      </c>
      <c r="F20" s="173" t="s">
        <v>15</v>
      </c>
      <c r="G20" s="174">
        <v>0.1</v>
      </c>
      <c r="H20" s="175">
        <f>299.3+89.76</f>
        <v>389.06</v>
      </c>
      <c r="I20" s="177">
        <f t="shared" si="2"/>
        <v>491.92746399999999</v>
      </c>
      <c r="J20" s="176"/>
      <c r="K20" s="179">
        <f t="shared" si="3"/>
        <v>49.192746400000004</v>
      </c>
      <c r="L20" s="261">
        <f>K20*100/K124</f>
        <v>3.4694259964382308E-2</v>
      </c>
    </row>
    <row r="21" spans="2:12" s="5" customFormat="1" ht="36" x14ac:dyDescent="0.2">
      <c r="B21" s="230">
        <v>72131</v>
      </c>
      <c r="C21" s="214" t="s">
        <v>207</v>
      </c>
      <c r="D21" s="201" t="s">
        <v>225</v>
      </c>
      <c r="E21" s="249" t="s">
        <v>181</v>
      </c>
      <c r="F21" s="173" t="s">
        <v>34</v>
      </c>
      <c r="G21" s="174">
        <v>1.5</v>
      </c>
      <c r="H21" s="175">
        <f>75.64+22.69</f>
        <v>98.33</v>
      </c>
      <c r="I21" s="177">
        <f t="shared" si="2"/>
        <v>124.328452</v>
      </c>
      <c r="J21" s="176"/>
      <c r="K21" s="179">
        <f t="shared" si="3"/>
        <v>186.49267800000001</v>
      </c>
      <c r="L21" s="239">
        <f>K21*100/K124</f>
        <v>0.13152803869445764</v>
      </c>
    </row>
    <row r="22" spans="2:12" s="5" customFormat="1" ht="15" customHeight="1" x14ac:dyDescent="0.25">
      <c r="B22" s="225"/>
      <c r="C22" s="198"/>
      <c r="D22" s="200" t="s">
        <v>226</v>
      </c>
      <c r="E22" s="141" t="s">
        <v>159</v>
      </c>
      <c r="F22" s="142"/>
      <c r="G22" s="143"/>
      <c r="H22" s="144"/>
      <c r="I22" s="85"/>
      <c r="J22" s="145"/>
      <c r="K22" s="126"/>
      <c r="L22" s="127">
        <f>K22*100/K124</f>
        <v>0</v>
      </c>
    </row>
    <row r="23" spans="2:12" s="5" customFormat="1" ht="13.5" x14ac:dyDescent="0.25">
      <c r="B23" s="225" t="s">
        <v>185</v>
      </c>
      <c r="C23" s="193" t="s">
        <v>207</v>
      </c>
      <c r="D23" s="200" t="s">
        <v>227</v>
      </c>
      <c r="E23" s="172" t="s">
        <v>186</v>
      </c>
      <c r="F23" s="142" t="s">
        <v>15</v>
      </c>
      <c r="G23" s="143">
        <v>0.1</v>
      </c>
      <c r="H23" s="144">
        <f>372+111.58</f>
        <v>483.58</v>
      </c>
      <c r="I23" s="85">
        <f t="shared" si="2"/>
        <v>611.43855199999996</v>
      </c>
      <c r="J23" s="145"/>
      <c r="K23" s="126">
        <f t="shared" si="3"/>
        <v>61.143855199999997</v>
      </c>
      <c r="L23" s="127">
        <f>K23*100/K124</f>
        <v>4.3123040748408975E-2</v>
      </c>
    </row>
    <row r="24" spans="2:12" s="5" customFormat="1" ht="24" x14ac:dyDescent="0.2">
      <c r="B24" s="230">
        <v>73406</v>
      </c>
      <c r="C24" s="214" t="s">
        <v>207</v>
      </c>
      <c r="D24" s="208" t="s">
        <v>228</v>
      </c>
      <c r="E24" s="172" t="s">
        <v>187</v>
      </c>
      <c r="F24" s="173" t="s">
        <v>15</v>
      </c>
      <c r="G24" s="174">
        <v>0.1</v>
      </c>
      <c r="H24" s="175">
        <f>299.3+89.76</f>
        <v>389.06</v>
      </c>
      <c r="I24" s="85">
        <f t="shared" si="2"/>
        <v>491.92746399999999</v>
      </c>
      <c r="J24" s="145"/>
      <c r="K24" s="126">
        <f t="shared" si="3"/>
        <v>49.192746400000004</v>
      </c>
      <c r="L24" s="127">
        <f>K24*100/K124</f>
        <v>3.4694259964382308E-2</v>
      </c>
    </row>
    <row r="25" spans="2:12" s="5" customFormat="1" ht="48" x14ac:dyDescent="0.2">
      <c r="B25" s="230">
        <v>87529</v>
      </c>
      <c r="C25" s="214" t="s">
        <v>207</v>
      </c>
      <c r="D25" s="201" t="s">
        <v>229</v>
      </c>
      <c r="E25" s="172" t="s">
        <v>182</v>
      </c>
      <c r="F25" s="173" t="s">
        <v>34</v>
      </c>
      <c r="G25" s="174">
        <v>3.6</v>
      </c>
      <c r="H25" s="175">
        <f>14.5+5.77</f>
        <v>20.27</v>
      </c>
      <c r="I25" s="177">
        <f t="shared" si="2"/>
        <v>25.629387999999999</v>
      </c>
      <c r="J25" s="176"/>
      <c r="K25" s="179">
        <f t="shared" si="3"/>
        <v>92.265796800000004</v>
      </c>
      <c r="L25" s="239">
        <f>K25*100/K124</f>
        <v>6.5072470521793699E-2</v>
      </c>
    </row>
    <row r="26" spans="2:12" s="5" customFormat="1" ht="15" customHeight="1" x14ac:dyDescent="0.25">
      <c r="B26" s="225">
        <v>84033</v>
      </c>
      <c r="C26" s="193" t="s">
        <v>207</v>
      </c>
      <c r="D26" s="200" t="s">
        <v>230</v>
      </c>
      <c r="E26" s="118" t="s">
        <v>188</v>
      </c>
      <c r="F26" s="142" t="s">
        <v>34</v>
      </c>
      <c r="G26" s="143">
        <v>0.84</v>
      </c>
      <c r="H26" s="144">
        <f>33+9.9</f>
        <v>42.9</v>
      </c>
      <c r="I26" s="85">
        <f t="shared" si="2"/>
        <v>54.242759999999997</v>
      </c>
      <c r="J26" s="145"/>
      <c r="K26" s="126">
        <f t="shared" si="3"/>
        <v>45.563918399999999</v>
      </c>
      <c r="L26" s="127">
        <f>K26*100/K124</f>
        <v>3.2134949675537983E-2</v>
      </c>
    </row>
    <row r="27" spans="2:12" s="5" customFormat="1" ht="24" x14ac:dyDescent="0.2">
      <c r="B27" s="230">
        <v>88489</v>
      </c>
      <c r="C27" s="214" t="s">
        <v>207</v>
      </c>
      <c r="D27" s="208" t="s">
        <v>231</v>
      </c>
      <c r="E27" s="172" t="s">
        <v>189</v>
      </c>
      <c r="F27" s="173" t="s">
        <v>34</v>
      </c>
      <c r="G27" s="174">
        <v>3.6</v>
      </c>
      <c r="H27" s="175">
        <f>5.52+2.21</f>
        <v>7.7299999999999995</v>
      </c>
      <c r="I27" s="177">
        <f t="shared" si="2"/>
        <v>9.7738119999999995</v>
      </c>
      <c r="J27" s="176"/>
      <c r="K27" s="179">
        <f t="shared" si="3"/>
        <v>35.185723199999998</v>
      </c>
      <c r="L27" s="127">
        <f>K27*100/K124</f>
        <v>2.4815500598592267E-2</v>
      </c>
    </row>
    <row r="28" spans="2:12" s="5" customFormat="1" ht="15" customHeight="1" x14ac:dyDescent="0.25">
      <c r="B28" s="191"/>
      <c r="C28" s="195"/>
      <c r="D28" s="196"/>
      <c r="E28" s="82" t="s">
        <v>85</v>
      </c>
      <c r="F28" s="83"/>
      <c r="G28" s="84"/>
      <c r="H28" s="85"/>
      <c r="I28" s="85"/>
      <c r="J28" s="125"/>
      <c r="K28" s="132">
        <f>SUM(K14:K27)</f>
        <v>2325.6779332000001</v>
      </c>
      <c r="L28" s="284">
        <f>SUM(L14:L27)</f>
        <v>1.6402352117479686</v>
      </c>
    </row>
    <row r="29" spans="2:12" s="5" customFormat="1" ht="15" customHeight="1" x14ac:dyDescent="0.25">
      <c r="B29" s="191"/>
      <c r="C29" s="195"/>
      <c r="D29" s="196" t="s">
        <v>7</v>
      </c>
      <c r="E29" s="36" t="s">
        <v>144</v>
      </c>
      <c r="F29" s="135"/>
      <c r="G29" s="135"/>
      <c r="H29" s="135"/>
      <c r="I29" s="135"/>
      <c r="J29" s="135"/>
      <c r="K29" s="135"/>
      <c r="L29" s="167"/>
    </row>
    <row r="30" spans="2:12" s="5" customFormat="1" ht="24" x14ac:dyDescent="0.2">
      <c r="B30" s="224" t="s">
        <v>246</v>
      </c>
      <c r="C30" s="203" t="s">
        <v>208</v>
      </c>
      <c r="D30" s="203" t="s">
        <v>8</v>
      </c>
      <c r="E30" s="242" t="s">
        <v>257</v>
      </c>
      <c r="F30" s="221" t="s">
        <v>76</v>
      </c>
      <c r="G30" s="218">
        <v>1</v>
      </c>
      <c r="H30" s="218">
        <v>1400</v>
      </c>
      <c r="I30" s="218">
        <f>H30*1.168</f>
        <v>1635.1999999999998</v>
      </c>
      <c r="J30" s="178"/>
      <c r="K30" s="219">
        <f t="shared" ref="K30:K32" si="4">I30*G30</f>
        <v>1635.1999999999998</v>
      </c>
      <c r="L30" s="220">
        <f>K30*100/K124</f>
        <v>1.1532605525305237</v>
      </c>
    </row>
    <row r="31" spans="2:12" s="5" customFormat="1" ht="15" customHeight="1" x14ac:dyDescent="0.25">
      <c r="B31" s="191">
        <v>83417</v>
      </c>
      <c r="C31" s="193" t="s">
        <v>207</v>
      </c>
      <c r="D31" s="194" t="s">
        <v>9</v>
      </c>
      <c r="E31" s="181" t="s">
        <v>172</v>
      </c>
      <c r="F31" s="83" t="s">
        <v>76</v>
      </c>
      <c r="G31" s="84">
        <v>30</v>
      </c>
      <c r="H31" s="85">
        <v>2.75</v>
      </c>
      <c r="I31" s="85">
        <f t="shared" ref="I31" si="5">H31*1.2644</f>
        <v>3.4771000000000001</v>
      </c>
      <c r="J31" s="125"/>
      <c r="K31" s="126">
        <f t="shared" si="4"/>
        <v>104.313</v>
      </c>
      <c r="L31" s="127">
        <f>K31*100/K124</f>
        <v>7.3569023982458764E-2</v>
      </c>
    </row>
    <row r="32" spans="2:12" s="5" customFormat="1" ht="15" customHeight="1" x14ac:dyDescent="0.25">
      <c r="B32" s="191">
        <v>12332</v>
      </c>
      <c r="C32" s="195" t="s">
        <v>208</v>
      </c>
      <c r="D32" s="194" t="s">
        <v>141</v>
      </c>
      <c r="E32" s="120" t="s">
        <v>95</v>
      </c>
      <c r="F32" s="83" t="s">
        <v>76</v>
      </c>
      <c r="G32" s="84">
        <v>1</v>
      </c>
      <c r="H32" s="85">
        <v>45.92</v>
      </c>
      <c r="I32" s="85">
        <f>H32*1.168</f>
        <v>53.63456</v>
      </c>
      <c r="J32" s="125"/>
      <c r="K32" s="126">
        <f t="shared" si="4"/>
        <v>53.63456</v>
      </c>
      <c r="L32" s="127">
        <f>K32*100/K124</f>
        <v>3.7826946123001186E-2</v>
      </c>
    </row>
    <row r="33" spans="2:12" s="5" customFormat="1" ht="15" customHeight="1" x14ac:dyDescent="0.25">
      <c r="B33" s="191"/>
      <c r="C33" s="195"/>
      <c r="D33" s="194"/>
      <c r="E33" s="82" t="s">
        <v>86</v>
      </c>
      <c r="F33" s="128"/>
      <c r="G33" s="129"/>
      <c r="H33" s="130"/>
      <c r="I33" s="130"/>
      <c r="J33" s="131"/>
      <c r="K33" s="132">
        <f>SUM(K30:K32)</f>
        <v>1793.1475599999999</v>
      </c>
      <c r="L33" s="284">
        <f>SUM(L30:L32)</f>
        <v>1.2646565226359836</v>
      </c>
    </row>
    <row r="34" spans="2:12" s="5" customFormat="1" ht="15" customHeight="1" x14ac:dyDescent="0.25">
      <c r="B34" s="226"/>
      <c r="C34" s="202"/>
      <c r="D34" s="196" t="s">
        <v>10</v>
      </c>
      <c r="E34" s="82" t="s">
        <v>16</v>
      </c>
      <c r="F34" s="134"/>
      <c r="G34" s="135"/>
      <c r="H34" s="136"/>
      <c r="I34" s="136"/>
      <c r="J34" s="147"/>
      <c r="K34" s="138"/>
      <c r="L34" s="139"/>
    </row>
    <row r="35" spans="2:12" s="5" customFormat="1" ht="24" x14ac:dyDescent="0.2">
      <c r="B35" s="224" t="s">
        <v>246</v>
      </c>
      <c r="C35" s="203" t="s">
        <v>208</v>
      </c>
      <c r="D35" s="203" t="s">
        <v>11</v>
      </c>
      <c r="E35" s="171" t="s">
        <v>273</v>
      </c>
      <c r="F35" s="216" t="s">
        <v>70</v>
      </c>
      <c r="G35" s="243">
        <v>1</v>
      </c>
      <c r="H35" s="218">
        <v>4250</v>
      </c>
      <c r="I35" s="218">
        <f>H35*1.168</f>
        <v>4964</v>
      </c>
      <c r="J35" s="222"/>
      <c r="K35" s="219">
        <f t="shared" ref="K35:K48" si="6">I35*G35</f>
        <v>4964</v>
      </c>
      <c r="L35" s="220">
        <f>K35*100/K124</f>
        <v>3.5009695344676621</v>
      </c>
    </row>
    <row r="36" spans="2:12" s="5" customFormat="1" ht="15" customHeight="1" x14ac:dyDescent="0.25">
      <c r="B36" s="223" t="s">
        <v>199</v>
      </c>
      <c r="C36" s="193" t="s">
        <v>207</v>
      </c>
      <c r="D36" s="194" t="s">
        <v>20</v>
      </c>
      <c r="E36" s="121" t="s">
        <v>200</v>
      </c>
      <c r="F36" s="148" t="s">
        <v>70</v>
      </c>
      <c r="G36" s="149">
        <v>1</v>
      </c>
      <c r="H36" s="85">
        <v>132.87</v>
      </c>
      <c r="I36" s="85">
        <f t="shared" ref="I36:I38" si="7">H36*1.2644</f>
        <v>168.00082800000001</v>
      </c>
      <c r="J36" s="125"/>
      <c r="K36" s="126">
        <f t="shared" si="6"/>
        <v>168.00082800000001</v>
      </c>
      <c r="L36" s="127">
        <f>K36*100/K124</f>
        <v>0.11848625717029448</v>
      </c>
    </row>
    <row r="37" spans="2:12" s="5" customFormat="1" ht="15" customHeight="1" x14ac:dyDescent="0.25">
      <c r="B37" s="191">
        <v>34607</v>
      </c>
      <c r="C37" s="195" t="s">
        <v>208</v>
      </c>
      <c r="D37" s="194" t="s">
        <v>42</v>
      </c>
      <c r="E37" s="165" t="s">
        <v>171</v>
      </c>
      <c r="F37" s="148" t="s">
        <v>26</v>
      </c>
      <c r="G37" s="150">
        <v>130</v>
      </c>
      <c r="H37" s="85">
        <v>4.28</v>
      </c>
      <c r="I37" s="85">
        <f t="shared" ref="I37:I46" si="8">H37*1.168</f>
        <v>4.9990399999999999</v>
      </c>
      <c r="J37" s="125"/>
      <c r="K37" s="126">
        <f t="shared" si="6"/>
        <v>649.87519999999995</v>
      </c>
      <c r="L37" s="127">
        <f>K37*100/K124</f>
        <v>0.45833869387713111</v>
      </c>
    </row>
    <row r="38" spans="2:12" s="5" customFormat="1" ht="24" x14ac:dyDescent="0.2">
      <c r="B38" s="224" t="s">
        <v>255</v>
      </c>
      <c r="C38" s="214" t="s">
        <v>207</v>
      </c>
      <c r="D38" s="203" t="s">
        <v>101</v>
      </c>
      <c r="E38" s="171" t="s">
        <v>256</v>
      </c>
      <c r="F38" s="216" t="s">
        <v>26</v>
      </c>
      <c r="G38" s="217">
        <v>110</v>
      </c>
      <c r="H38" s="218">
        <v>70.78</v>
      </c>
      <c r="I38" s="218">
        <f t="shared" si="7"/>
        <v>89.494231999999997</v>
      </c>
      <c r="J38" s="218"/>
      <c r="K38" s="219">
        <f t="shared" si="6"/>
        <v>9844.3655199999994</v>
      </c>
      <c r="L38" s="220">
        <f>K38*100/K124</f>
        <v>6.9429540233045737</v>
      </c>
    </row>
    <row r="39" spans="2:12" s="5" customFormat="1" ht="15" customHeight="1" x14ac:dyDescent="0.25">
      <c r="B39" s="255">
        <v>12863</v>
      </c>
      <c r="C39" s="195" t="s">
        <v>208</v>
      </c>
      <c r="D39" s="194" t="s">
        <v>260</v>
      </c>
      <c r="E39" s="153" t="s">
        <v>250</v>
      </c>
      <c r="F39" s="83" t="s">
        <v>70</v>
      </c>
      <c r="G39" s="84">
        <v>1</v>
      </c>
      <c r="H39" s="126">
        <v>40.85</v>
      </c>
      <c r="I39" s="85">
        <f t="shared" si="8"/>
        <v>47.712800000000001</v>
      </c>
      <c r="J39" s="85"/>
      <c r="K39" s="126">
        <f t="shared" si="6"/>
        <v>47.712800000000001</v>
      </c>
      <c r="L39" s="127">
        <f>K39*100/K124</f>
        <v>3.3650495407765643E-2</v>
      </c>
    </row>
    <row r="40" spans="2:12" s="5" customFormat="1" ht="24.75" x14ac:dyDescent="0.25">
      <c r="B40" s="191">
        <v>12424</v>
      </c>
      <c r="C40" s="195" t="s">
        <v>208</v>
      </c>
      <c r="D40" s="194" t="s">
        <v>102</v>
      </c>
      <c r="E40" s="171" t="s">
        <v>251</v>
      </c>
      <c r="F40" s="265" t="s">
        <v>70</v>
      </c>
      <c r="G40" s="177">
        <v>1</v>
      </c>
      <c r="H40" s="177">
        <v>63.47</v>
      </c>
      <c r="I40" s="177">
        <f t="shared" si="8"/>
        <v>74.132959999999997</v>
      </c>
      <c r="J40" s="177"/>
      <c r="K40" s="179">
        <f t="shared" si="6"/>
        <v>74.132959999999997</v>
      </c>
      <c r="L40" s="239">
        <f>K40*100/K124</f>
        <v>5.2283890906508826E-2</v>
      </c>
    </row>
    <row r="41" spans="2:12" s="5" customFormat="1" ht="24" x14ac:dyDescent="0.2">
      <c r="B41" s="250">
        <v>10409</v>
      </c>
      <c r="C41" s="203" t="s">
        <v>208</v>
      </c>
      <c r="D41" s="203" t="s">
        <v>103</v>
      </c>
      <c r="E41" s="171" t="s">
        <v>254</v>
      </c>
      <c r="F41" s="216" t="s">
        <v>70</v>
      </c>
      <c r="G41" s="218">
        <v>1</v>
      </c>
      <c r="H41" s="218">
        <v>216.18</v>
      </c>
      <c r="I41" s="218">
        <f t="shared" si="8"/>
        <v>252.49823999999998</v>
      </c>
      <c r="J41" s="218"/>
      <c r="K41" s="219">
        <f t="shared" si="6"/>
        <v>252.49823999999998</v>
      </c>
      <c r="L41" s="220">
        <f>K41*100/K124</f>
        <v>0.17807990446146332</v>
      </c>
    </row>
    <row r="42" spans="2:12" s="5" customFormat="1" ht="15" customHeight="1" x14ac:dyDescent="0.2">
      <c r="B42" s="191">
        <v>4209</v>
      </c>
      <c r="C42" s="195" t="s">
        <v>208</v>
      </c>
      <c r="D42" s="203" t="s">
        <v>104</v>
      </c>
      <c r="E42" s="121" t="s">
        <v>252</v>
      </c>
      <c r="F42" s="148" t="s">
        <v>70</v>
      </c>
      <c r="G42" s="84">
        <v>3</v>
      </c>
      <c r="H42" s="85">
        <v>8.36</v>
      </c>
      <c r="I42" s="85">
        <f t="shared" si="8"/>
        <v>9.7644799999999989</v>
      </c>
      <c r="J42" s="85"/>
      <c r="K42" s="126">
        <f t="shared" si="6"/>
        <v>29.293439999999997</v>
      </c>
      <c r="L42" s="127">
        <f>K42*100/K124</f>
        <v>2.0659839041046815E-2</v>
      </c>
    </row>
    <row r="43" spans="2:12" s="5" customFormat="1" ht="15" customHeight="1" x14ac:dyDescent="0.25">
      <c r="B43" s="191">
        <v>1809</v>
      </c>
      <c r="C43" s="195" t="s">
        <v>208</v>
      </c>
      <c r="D43" s="194" t="s">
        <v>105</v>
      </c>
      <c r="E43" s="121" t="s">
        <v>253</v>
      </c>
      <c r="F43" s="148" t="s">
        <v>70</v>
      </c>
      <c r="G43" s="84">
        <v>3</v>
      </c>
      <c r="H43" s="85">
        <v>38.770000000000003</v>
      </c>
      <c r="I43" s="85">
        <f t="shared" si="8"/>
        <v>45.283360000000002</v>
      </c>
      <c r="J43" s="85"/>
      <c r="K43" s="126">
        <f t="shared" si="6"/>
        <v>135.85007999999999</v>
      </c>
      <c r="L43" s="127">
        <f>K43*100/K124</f>
        <v>9.5811239189160888E-2</v>
      </c>
    </row>
    <row r="44" spans="2:12" s="5" customFormat="1" ht="15" customHeight="1" x14ac:dyDescent="0.25">
      <c r="B44" s="191">
        <v>3270</v>
      </c>
      <c r="C44" s="195" t="s">
        <v>208</v>
      </c>
      <c r="D44" s="194" t="s">
        <v>106</v>
      </c>
      <c r="E44" s="121" t="s">
        <v>99</v>
      </c>
      <c r="F44" s="148" t="s">
        <v>70</v>
      </c>
      <c r="G44" s="84">
        <v>1</v>
      </c>
      <c r="H44" s="85">
        <v>89.16</v>
      </c>
      <c r="I44" s="85">
        <f t="shared" si="8"/>
        <v>104.13887999999999</v>
      </c>
      <c r="J44" s="85"/>
      <c r="K44" s="126">
        <f t="shared" si="6"/>
        <v>104.13887999999999</v>
      </c>
      <c r="L44" s="127">
        <f>K44*100/K124</f>
        <v>7.3446222045443932E-2</v>
      </c>
    </row>
    <row r="45" spans="2:12" s="5" customFormat="1" ht="15" customHeight="1" x14ac:dyDescent="0.25">
      <c r="B45" s="191">
        <v>404</v>
      </c>
      <c r="C45" s="195" t="s">
        <v>208</v>
      </c>
      <c r="D45" s="194" t="s">
        <v>107</v>
      </c>
      <c r="E45" s="121" t="s">
        <v>98</v>
      </c>
      <c r="F45" s="148" t="s">
        <v>26</v>
      </c>
      <c r="G45" s="84">
        <v>10</v>
      </c>
      <c r="H45" s="85">
        <v>1.26</v>
      </c>
      <c r="I45" s="85">
        <f t="shared" si="8"/>
        <v>1.4716799999999999</v>
      </c>
      <c r="J45" s="85"/>
      <c r="K45" s="126">
        <f t="shared" si="6"/>
        <v>14.716799999999999</v>
      </c>
      <c r="L45" s="127">
        <f>K45*100/K124</f>
        <v>1.0379344972774715E-2</v>
      </c>
    </row>
    <row r="46" spans="2:12" s="5" customFormat="1" ht="24.75" x14ac:dyDescent="0.25">
      <c r="B46" s="191" t="s">
        <v>246</v>
      </c>
      <c r="C46" s="195" t="s">
        <v>208</v>
      </c>
      <c r="D46" s="194" t="s">
        <v>108</v>
      </c>
      <c r="E46" s="209" t="s">
        <v>258</v>
      </c>
      <c r="F46" s="251" t="s">
        <v>24</v>
      </c>
      <c r="G46" s="252">
        <v>1</v>
      </c>
      <c r="H46" s="253">
        <v>1800</v>
      </c>
      <c r="I46" s="85">
        <f t="shared" si="8"/>
        <v>2102.4</v>
      </c>
      <c r="J46" s="85"/>
      <c r="K46" s="126">
        <f t="shared" si="6"/>
        <v>2102.4</v>
      </c>
      <c r="L46" s="127">
        <f>K46*100/K124</f>
        <v>1.4827635675392452</v>
      </c>
    </row>
    <row r="47" spans="2:12" s="5" customFormat="1" ht="15" customHeight="1" x14ac:dyDescent="0.25">
      <c r="B47" s="191"/>
      <c r="C47" s="195"/>
      <c r="D47" s="194" t="s">
        <v>109</v>
      </c>
      <c r="E47" s="82" t="s">
        <v>100</v>
      </c>
      <c r="F47" s="83"/>
      <c r="G47" s="84"/>
      <c r="H47" s="85"/>
      <c r="I47" s="85"/>
      <c r="J47" s="85"/>
      <c r="K47" s="126"/>
      <c r="L47" s="127">
        <f>K47*100/K124</f>
        <v>0</v>
      </c>
    </row>
    <row r="48" spans="2:12" s="5" customFormat="1" ht="24" x14ac:dyDescent="0.2">
      <c r="B48" s="224" t="s">
        <v>212</v>
      </c>
      <c r="C48" s="214" t="s">
        <v>207</v>
      </c>
      <c r="D48" s="203" t="s">
        <v>261</v>
      </c>
      <c r="E48" s="180" t="s">
        <v>190</v>
      </c>
      <c r="F48" s="221" t="s">
        <v>34</v>
      </c>
      <c r="G48" s="218">
        <v>1</v>
      </c>
      <c r="H48" s="218">
        <f>32.67+13.07</f>
        <v>45.74</v>
      </c>
      <c r="I48" s="218">
        <f t="shared" ref="I48" si="9">H48*1.2644</f>
        <v>57.833655999999998</v>
      </c>
      <c r="J48" s="218"/>
      <c r="K48" s="219">
        <f t="shared" si="6"/>
        <v>57.833655999999998</v>
      </c>
      <c r="L48" s="220">
        <f>K48*100/K124</f>
        <v>4.0788450387365616E-2</v>
      </c>
    </row>
    <row r="49" spans="2:12" s="5" customFormat="1" ht="15" customHeight="1" x14ac:dyDescent="0.25">
      <c r="B49" s="191"/>
      <c r="C49" s="195"/>
      <c r="D49" s="194"/>
      <c r="E49" s="82" t="s">
        <v>73</v>
      </c>
      <c r="F49" s="128"/>
      <c r="G49" s="129"/>
      <c r="H49" s="130"/>
      <c r="I49" s="132"/>
      <c r="J49" s="131"/>
      <c r="K49" s="132">
        <f>SUM(K35:K48)</f>
        <v>18444.818404000001</v>
      </c>
      <c r="L49" s="284">
        <f>SUM(L35:L48)</f>
        <v>13.008611462770434</v>
      </c>
    </row>
    <row r="50" spans="2:12" s="5" customFormat="1" ht="15" customHeight="1" x14ac:dyDescent="0.25">
      <c r="B50" s="226"/>
      <c r="C50" s="202"/>
      <c r="D50" s="196" t="s">
        <v>12</v>
      </c>
      <c r="E50" s="82" t="s">
        <v>17</v>
      </c>
      <c r="F50" s="134"/>
      <c r="G50" s="135"/>
      <c r="H50" s="136"/>
      <c r="I50" s="136"/>
      <c r="J50" s="147"/>
      <c r="K50" s="138"/>
      <c r="L50" s="139"/>
    </row>
    <row r="51" spans="2:12" s="5" customFormat="1" ht="15" customHeight="1" x14ac:dyDescent="0.25">
      <c r="B51" s="191"/>
      <c r="C51" s="195"/>
      <c r="D51" s="194" t="s">
        <v>82</v>
      </c>
      <c r="E51" s="82" t="s">
        <v>27</v>
      </c>
      <c r="F51" s="83"/>
      <c r="G51" s="84"/>
      <c r="H51" s="85"/>
      <c r="I51" s="85"/>
      <c r="J51" s="125"/>
      <c r="K51" s="126"/>
      <c r="L51" s="127"/>
    </row>
    <row r="52" spans="2:12" s="5" customFormat="1" ht="36" x14ac:dyDescent="0.2">
      <c r="B52" s="224" t="s">
        <v>36</v>
      </c>
      <c r="C52" s="214" t="s">
        <v>207</v>
      </c>
      <c r="D52" s="203" t="s">
        <v>43</v>
      </c>
      <c r="E52" s="171" t="s">
        <v>191</v>
      </c>
      <c r="F52" s="221" t="s">
        <v>15</v>
      </c>
      <c r="G52" s="218">
        <f>16*0.4*0.9</f>
        <v>5.7600000000000007</v>
      </c>
      <c r="H52" s="218">
        <v>3.41</v>
      </c>
      <c r="I52" s="218">
        <f t="shared" ref="I52:I53" si="10">H52*1.2644</f>
        <v>4.311604</v>
      </c>
      <c r="J52" s="222"/>
      <c r="K52" s="219">
        <f t="shared" ref="K52:K58" si="11">I52*G52</f>
        <v>24.834839040000002</v>
      </c>
      <c r="L52" s="220">
        <f>K52*100/K124</f>
        <v>1.7515313229743781E-2</v>
      </c>
    </row>
    <row r="53" spans="2:12" s="5" customFormat="1" ht="15" customHeight="1" x14ac:dyDescent="0.25">
      <c r="B53" s="191" t="s">
        <v>192</v>
      </c>
      <c r="C53" s="193" t="s">
        <v>207</v>
      </c>
      <c r="D53" s="194" t="s">
        <v>110</v>
      </c>
      <c r="E53" s="121" t="s">
        <v>193</v>
      </c>
      <c r="F53" s="83" t="s">
        <v>15</v>
      </c>
      <c r="G53" s="84">
        <f>G52*0.8</f>
        <v>4.6080000000000005</v>
      </c>
      <c r="H53" s="85">
        <v>1.84</v>
      </c>
      <c r="I53" s="85">
        <f t="shared" si="10"/>
        <v>2.3264960000000001</v>
      </c>
      <c r="J53" s="125"/>
      <c r="K53" s="126">
        <f t="shared" si="11"/>
        <v>10.720493568000002</v>
      </c>
      <c r="L53" s="127">
        <f>K53*100/K124</f>
        <v>7.5608624850976094E-3</v>
      </c>
    </row>
    <row r="54" spans="2:12" s="5" customFormat="1" ht="15" customHeight="1" x14ac:dyDescent="0.25">
      <c r="B54" s="226"/>
      <c r="C54" s="202"/>
      <c r="D54" s="196" t="s">
        <v>44</v>
      </c>
      <c r="E54" s="36" t="s">
        <v>79</v>
      </c>
      <c r="F54" s="83"/>
      <c r="G54" s="84"/>
      <c r="H54" s="125"/>
      <c r="I54" s="125"/>
      <c r="J54" s="125"/>
      <c r="K54" s="126"/>
      <c r="L54" s="127"/>
    </row>
    <row r="55" spans="2:12" s="5" customFormat="1" ht="15" customHeight="1" x14ac:dyDescent="0.25">
      <c r="B55" s="191">
        <v>12609</v>
      </c>
      <c r="C55" s="195" t="s">
        <v>208</v>
      </c>
      <c r="D55" s="194" t="s">
        <v>45</v>
      </c>
      <c r="E55" s="121" t="s">
        <v>173</v>
      </c>
      <c r="F55" s="83" t="s">
        <v>26</v>
      </c>
      <c r="G55" s="152" t="s">
        <v>270</v>
      </c>
      <c r="H55" s="126">
        <v>10.33</v>
      </c>
      <c r="I55" s="85">
        <f t="shared" ref="I55:I58" si="12">H55*1.168</f>
        <v>12.065439999999999</v>
      </c>
      <c r="J55" s="125"/>
      <c r="K55" s="126">
        <f t="shared" si="11"/>
        <v>313.70143999999999</v>
      </c>
      <c r="L55" s="127">
        <f>K55*100/K124</f>
        <v>0.2212447994276058</v>
      </c>
    </row>
    <row r="56" spans="2:12" s="5" customFormat="1" ht="15" customHeight="1" x14ac:dyDescent="0.25">
      <c r="B56" s="191">
        <v>3266</v>
      </c>
      <c r="C56" s="195" t="s">
        <v>208</v>
      </c>
      <c r="D56" s="194" t="s">
        <v>169</v>
      </c>
      <c r="E56" s="121" t="s">
        <v>213</v>
      </c>
      <c r="F56" s="83" t="s">
        <v>70</v>
      </c>
      <c r="G56" s="152" t="s">
        <v>94</v>
      </c>
      <c r="H56" s="126">
        <v>23.79</v>
      </c>
      <c r="I56" s="85">
        <f t="shared" si="12"/>
        <v>27.786719999999999</v>
      </c>
      <c r="J56" s="125"/>
      <c r="K56" s="126">
        <f t="shared" si="11"/>
        <v>27.786719999999999</v>
      </c>
      <c r="L56" s="127">
        <f>K56*100/K124</f>
        <v>1.9597191817643692E-2</v>
      </c>
    </row>
    <row r="57" spans="2:12" s="5" customFormat="1" ht="15" customHeight="1" x14ac:dyDescent="0.25">
      <c r="B57" s="191">
        <v>1806</v>
      </c>
      <c r="C57" s="195" t="s">
        <v>208</v>
      </c>
      <c r="D57" s="194" t="s">
        <v>81</v>
      </c>
      <c r="E57" s="121" t="s">
        <v>214</v>
      </c>
      <c r="F57" s="83" t="s">
        <v>70</v>
      </c>
      <c r="G57" s="152" t="s">
        <v>174</v>
      </c>
      <c r="H57" s="85">
        <v>60.67</v>
      </c>
      <c r="I57" s="85">
        <f t="shared" si="12"/>
        <v>70.862560000000002</v>
      </c>
      <c r="J57" s="125"/>
      <c r="K57" s="126">
        <f t="shared" si="11"/>
        <v>141.72512</v>
      </c>
      <c r="L57" s="127">
        <f>K57*100/K124</f>
        <v>9.9954739602895568E-2</v>
      </c>
    </row>
    <row r="58" spans="2:12" s="5" customFormat="1" ht="24" x14ac:dyDescent="0.2">
      <c r="B58" s="224">
        <v>81</v>
      </c>
      <c r="C58" s="203" t="s">
        <v>208</v>
      </c>
      <c r="D58" s="203" t="s">
        <v>83</v>
      </c>
      <c r="E58" s="171" t="s">
        <v>215</v>
      </c>
      <c r="F58" s="221" t="s">
        <v>70</v>
      </c>
      <c r="G58" s="260" t="s">
        <v>175</v>
      </c>
      <c r="H58" s="219">
        <v>33.47</v>
      </c>
      <c r="I58" s="218">
        <f t="shared" si="12"/>
        <v>39.092959999999998</v>
      </c>
      <c r="J58" s="222"/>
      <c r="K58" s="219">
        <f t="shared" si="11"/>
        <v>156.37183999999999</v>
      </c>
      <c r="L58" s="220">
        <f>K58*100/K124</f>
        <v>0.11028465912341896</v>
      </c>
    </row>
    <row r="59" spans="2:12" s="5" customFormat="1" ht="15" customHeight="1" x14ac:dyDescent="0.25">
      <c r="B59" s="191"/>
      <c r="C59" s="195"/>
      <c r="D59" s="194" t="s">
        <v>111</v>
      </c>
      <c r="E59" s="36" t="s">
        <v>72</v>
      </c>
      <c r="F59" s="84"/>
      <c r="G59" s="84"/>
      <c r="H59" s="84"/>
      <c r="I59" s="84"/>
      <c r="J59" s="84"/>
      <c r="K59" s="84"/>
      <c r="L59" s="127">
        <f>K59*100/K124</f>
        <v>0</v>
      </c>
    </row>
    <row r="60" spans="2:12" s="5" customFormat="1" ht="15" customHeight="1" x14ac:dyDescent="0.25">
      <c r="B60" s="191">
        <v>12772</v>
      </c>
      <c r="C60" s="195" t="s">
        <v>208</v>
      </c>
      <c r="D60" s="194" t="s">
        <v>112</v>
      </c>
      <c r="E60" s="254" t="s">
        <v>274</v>
      </c>
      <c r="F60" s="83" t="s">
        <v>24</v>
      </c>
      <c r="G60" s="84">
        <v>1</v>
      </c>
      <c r="H60" s="85">
        <v>627.41</v>
      </c>
      <c r="I60" s="85">
        <f>H60*1.168</f>
        <v>732.8148799999999</v>
      </c>
      <c r="J60" s="125"/>
      <c r="K60" s="126">
        <f t="shared" ref="K60" si="13">I60*G60</f>
        <v>732.8148799999999</v>
      </c>
      <c r="L60" s="127">
        <f>K60*100/K124</f>
        <v>0.5168337166165542</v>
      </c>
    </row>
    <row r="61" spans="2:12" s="5" customFormat="1" ht="15" customHeight="1" x14ac:dyDescent="0.25">
      <c r="B61" s="191"/>
      <c r="C61" s="195"/>
      <c r="D61" s="194"/>
      <c r="E61" s="82" t="s">
        <v>87</v>
      </c>
      <c r="F61" s="83"/>
      <c r="G61" s="84"/>
      <c r="H61" s="85"/>
      <c r="I61" s="85"/>
      <c r="J61" s="125"/>
      <c r="K61" s="132">
        <f>SUM(K52:K60)</f>
        <v>1407.9553326079999</v>
      </c>
      <c r="L61" s="284">
        <f>SUM(L52:L60)</f>
        <v>0.99299128230295963</v>
      </c>
    </row>
    <row r="62" spans="2:12" s="5" customFormat="1" ht="15" customHeight="1" x14ac:dyDescent="0.25">
      <c r="B62" s="226"/>
      <c r="C62" s="202"/>
      <c r="D62" s="194" t="s">
        <v>30</v>
      </c>
      <c r="E62" s="82" t="s">
        <v>18</v>
      </c>
      <c r="F62" s="134"/>
      <c r="G62" s="135"/>
      <c r="H62" s="136"/>
      <c r="I62" s="136"/>
      <c r="J62" s="147"/>
      <c r="K62" s="138"/>
      <c r="L62" s="139"/>
    </row>
    <row r="63" spans="2:12" s="5" customFormat="1" ht="15" customHeight="1" x14ac:dyDescent="0.25">
      <c r="B63" s="226"/>
      <c r="C63" s="202"/>
      <c r="D63" s="196" t="s">
        <v>74</v>
      </c>
      <c r="E63" s="82" t="s">
        <v>35</v>
      </c>
      <c r="F63" s="154"/>
      <c r="G63" s="140"/>
      <c r="H63" s="151"/>
      <c r="I63" s="151"/>
      <c r="J63" s="155"/>
      <c r="K63" s="156"/>
      <c r="L63" s="157"/>
    </row>
    <row r="64" spans="2:12" s="5" customFormat="1" ht="15" customHeight="1" x14ac:dyDescent="0.25">
      <c r="B64" s="191"/>
      <c r="C64" s="195"/>
      <c r="D64" s="194" t="s">
        <v>84</v>
      </c>
      <c r="E64" s="141" t="s">
        <v>146</v>
      </c>
      <c r="F64" s="83"/>
      <c r="G64" s="168"/>
      <c r="H64" s="151"/>
      <c r="I64" s="151"/>
      <c r="J64" s="125"/>
      <c r="K64" s="126">
        <f t="shared" ref="K64:K70" si="14">I64*G64</f>
        <v>0</v>
      </c>
      <c r="L64" s="127"/>
    </row>
    <row r="65" spans="2:12" s="5" customFormat="1" ht="13.5" x14ac:dyDescent="0.25">
      <c r="B65" s="227" t="s">
        <v>185</v>
      </c>
      <c r="C65" s="193" t="s">
        <v>207</v>
      </c>
      <c r="D65" s="204" t="s">
        <v>232</v>
      </c>
      <c r="E65" s="172" t="s">
        <v>186</v>
      </c>
      <c r="F65" s="83" t="s">
        <v>15</v>
      </c>
      <c r="G65" s="168">
        <v>4</v>
      </c>
      <c r="H65" s="144">
        <f>372+111.58</f>
        <v>483.58</v>
      </c>
      <c r="I65" s="85">
        <f t="shared" ref="I65:I66" si="15">H65*1.2644</f>
        <v>611.43855199999996</v>
      </c>
      <c r="J65" s="125"/>
      <c r="K65" s="126">
        <f t="shared" si="14"/>
        <v>2445.7542079999998</v>
      </c>
      <c r="L65" s="127">
        <f>K65*100/K124</f>
        <v>1.724921629936359</v>
      </c>
    </row>
    <row r="66" spans="2:12" s="5" customFormat="1" ht="24" x14ac:dyDescent="0.2">
      <c r="B66" s="235">
        <v>73406</v>
      </c>
      <c r="C66" s="214" t="s">
        <v>207</v>
      </c>
      <c r="D66" s="215" t="s">
        <v>233</v>
      </c>
      <c r="E66" s="172" t="s">
        <v>187</v>
      </c>
      <c r="F66" s="83" t="s">
        <v>15</v>
      </c>
      <c r="G66" s="168">
        <v>4</v>
      </c>
      <c r="H66" s="144">
        <f>299.3+89.76</f>
        <v>389.06</v>
      </c>
      <c r="I66" s="85">
        <f t="shared" si="15"/>
        <v>491.92746399999999</v>
      </c>
      <c r="J66" s="125"/>
      <c r="K66" s="126">
        <f t="shared" si="14"/>
        <v>1967.7098559999999</v>
      </c>
      <c r="L66" s="127">
        <f>K66*100/K124</f>
        <v>1.3877703985752921</v>
      </c>
    </row>
    <row r="67" spans="2:12" s="5" customFormat="1" ht="15" customHeight="1" x14ac:dyDescent="0.25">
      <c r="B67" s="191"/>
      <c r="C67" s="195"/>
      <c r="D67" s="194" t="s">
        <v>91</v>
      </c>
      <c r="E67" s="82" t="s">
        <v>37</v>
      </c>
      <c r="F67" s="83"/>
      <c r="G67" s="84"/>
      <c r="H67" s="85"/>
      <c r="I67" s="85"/>
      <c r="J67" s="125"/>
      <c r="K67" s="126">
        <f t="shared" si="14"/>
        <v>0</v>
      </c>
      <c r="L67" s="127">
        <f>K67*100/K124</f>
        <v>0</v>
      </c>
    </row>
    <row r="68" spans="2:12" s="5" customFormat="1" ht="15" customHeight="1" x14ac:dyDescent="0.25">
      <c r="B68" s="191">
        <v>37106</v>
      </c>
      <c r="C68" s="195" t="s">
        <v>208</v>
      </c>
      <c r="D68" s="194" t="s">
        <v>92</v>
      </c>
      <c r="E68" s="254" t="s">
        <v>259</v>
      </c>
      <c r="F68" s="83" t="s">
        <v>70</v>
      </c>
      <c r="G68" s="84">
        <v>1</v>
      </c>
      <c r="H68" s="85">
        <v>2588.59</v>
      </c>
      <c r="I68" s="85">
        <f t="shared" ref="I68:I69" si="16">H68*1.168</f>
        <v>3023.4731200000001</v>
      </c>
      <c r="J68" s="125"/>
      <c r="K68" s="126">
        <f t="shared" si="14"/>
        <v>3023.4731200000001</v>
      </c>
      <c r="L68" s="127">
        <f>K68*100/K124</f>
        <v>2.132370524053564</v>
      </c>
    </row>
    <row r="69" spans="2:12" s="5" customFormat="1" ht="36" x14ac:dyDescent="0.2">
      <c r="B69" s="224" t="s">
        <v>246</v>
      </c>
      <c r="C69" s="203" t="s">
        <v>208</v>
      </c>
      <c r="D69" s="203" t="s">
        <v>93</v>
      </c>
      <c r="E69" s="262" t="s">
        <v>262</v>
      </c>
      <c r="F69" s="169" t="s">
        <v>70</v>
      </c>
      <c r="G69" s="263" t="s">
        <v>71</v>
      </c>
      <c r="H69" s="264">
        <v>8000</v>
      </c>
      <c r="I69" s="177">
        <f t="shared" si="16"/>
        <v>9344</v>
      </c>
      <c r="J69" s="178"/>
      <c r="K69" s="179">
        <f t="shared" si="14"/>
        <v>9344</v>
      </c>
      <c r="L69" s="239">
        <f>K69*100/K124</f>
        <v>6.5900603001744233</v>
      </c>
    </row>
    <row r="70" spans="2:12" s="5" customFormat="1" ht="15" customHeight="1" x14ac:dyDescent="0.25">
      <c r="B70" s="191">
        <v>1845</v>
      </c>
      <c r="C70" s="195" t="s">
        <v>208</v>
      </c>
      <c r="D70" s="194" t="s">
        <v>234</v>
      </c>
      <c r="E70" s="121" t="s">
        <v>216</v>
      </c>
      <c r="F70" s="83" t="s">
        <v>70</v>
      </c>
      <c r="G70" s="152" t="s">
        <v>176</v>
      </c>
      <c r="H70" s="146">
        <v>8.0399999999999991</v>
      </c>
      <c r="I70" s="85">
        <f>H70*1.168</f>
        <v>9.3907199999999982</v>
      </c>
      <c r="J70" s="125"/>
      <c r="K70" s="126">
        <f t="shared" si="14"/>
        <v>18.781439999999996</v>
      </c>
      <c r="L70" s="127">
        <f>K70*100/K124</f>
        <v>1.3246021203350587E-2</v>
      </c>
    </row>
    <row r="71" spans="2:12" s="5" customFormat="1" ht="15" customHeight="1" x14ac:dyDescent="0.25">
      <c r="B71" s="191"/>
      <c r="C71" s="195"/>
      <c r="D71" s="196"/>
      <c r="E71" s="82" t="s">
        <v>88</v>
      </c>
      <c r="F71" s="128"/>
      <c r="G71" s="129"/>
      <c r="H71" s="130"/>
      <c r="I71" s="130"/>
      <c r="J71" s="131"/>
      <c r="K71" s="132">
        <f>SUM(K64:K70)</f>
        <v>16799.718624000001</v>
      </c>
      <c r="L71" s="284">
        <f>SUM(L64:L70)</f>
        <v>11.848368873942988</v>
      </c>
    </row>
    <row r="72" spans="2:12" s="5" customFormat="1" ht="15" customHeight="1" x14ac:dyDescent="0.2">
      <c r="B72" s="228"/>
      <c r="C72" s="205"/>
      <c r="D72" s="82" t="s">
        <v>40</v>
      </c>
      <c r="E72" s="81" t="s">
        <v>29</v>
      </c>
      <c r="F72" s="158"/>
      <c r="G72" s="135"/>
      <c r="H72" s="138"/>
      <c r="I72" s="138"/>
      <c r="J72" s="138"/>
      <c r="K72" s="136"/>
      <c r="L72" s="159"/>
    </row>
    <row r="73" spans="2:12" s="5" customFormat="1" ht="15" customHeight="1" x14ac:dyDescent="0.2">
      <c r="B73" s="229"/>
      <c r="C73" s="206"/>
      <c r="D73" s="121" t="s">
        <v>39</v>
      </c>
      <c r="E73" s="82" t="s">
        <v>142</v>
      </c>
      <c r="F73" s="83"/>
      <c r="G73" s="84"/>
      <c r="H73" s="85"/>
      <c r="I73" s="130"/>
      <c r="J73" s="131"/>
      <c r="K73" s="132"/>
      <c r="L73" s="133"/>
    </row>
    <row r="74" spans="2:12" s="5" customFormat="1" ht="15" customHeight="1" x14ac:dyDescent="0.25">
      <c r="B74" s="225"/>
      <c r="C74" s="193"/>
      <c r="D74" s="194" t="s">
        <v>46</v>
      </c>
      <c r="E74" s="82" t="s">
        <v>179</v>
      </c>
      <c r="F74" s="83"/>
      <c r="G74" s="84"/>
      <c r="H74" s="119"/>
      <c r="I74" s="119"/>
      <c r="J74" s="125"/>
      <c r="K74" s="126"/>
      <c r="L74" s="127"/>
    </row>
    <row r="75" spans="2:12" s="5" customFormat="1" ht="24" x14ac:dyDescent="0.2">
      <c r="B75" s="235">
        <v>73406</v>
      </c>
      <c r="C75" s="214" t="s">
        <v>207</v>
      </c>
      <c r="D75" s="215" t="s">
        <v>235</v>
      </c>
      <c r="E75" s="172" t="s">
        <v>187</v>
      </c>
      <c r="F75" s="221" t="s">
        <v>15</v>
      </c>
      <c r="G75" s="218">
        <v>0.72</v>
      </c>
      <c r="H75" s="259">
        <f>H66</f>
        <v>389.06</v>
      </c>
      <c r="I75" s="218">
        <f t="shared" ref="I75:I78" si="17">H75*1.2644</f>
        <v>491.92746399999999</v>
      </c>
      <c r="J75" s="222"/>
      <c r="K75" s="219">
        <f t="shared" ref="K75:K82" si="18">I75*G75</f>
        <v>354.18777408</v>
      </c>
      <c r="L75" s="220">
        <f>K75*100/K124</f>
        <v>0.24979867174355261</v>
      </c>
    </row>
    <row r="76" spans="2:12" s="5" customFormat="1" ht="15" customHeight="1" x14ac:dyDescent="0.25">
      <c r="B76" s="225"/>
      <c r="C76" s="193"/>
      <c r="D76" s="194" t="s">
        <v>47</v>
      </c>
      <c r="E76" s="82" t="s">
        <v>178</v>
      </c>
      <c r="F76" s="83"/>
      <c r="G76" s="84"/>
      <c r="H76" s="144"/>
      <c r="I76" s="85"/>
      <c r="J76" s="125"/>
      <c r="K76" s="126"/>
      <c r="L76" s="127">
        <f>K76*100/K124</f>
        <v>0</v>
      </c>
    </row>
    <row r="77" spans="2:12" s="5" customFormat="1" ht="15" customHeight="1" x14ac:dyDescent="0.25">
      <c r="B77" s="227" t="s">
        <v>185</v>
      </c>
      <c r="C77" s="193" t="s">
        <v>207</v>
      </c>
      <c r="D77" s="204" t="s">
        <v>236</v>
      </c>
      <c r="E77" s="172" t="s">
        <v>186</v>
      </c>
      <c r="F77" s="83" t="s">
        <v>15</v>
      </c>
      <c r="G77" s="84">
        <v>0.9</v>
      </c>
      <c r="H77" s="144">
        <f>372+111.58</f>
        <v>483.58</v>
      </c>
      <c r="I77" s="85">
        <f t="shared" si="17"/>
        <v>611.43855199999996</v>
      </c>
      <c r="J77" s="125"/>
      <c r="K77" s="126">
        <f t="shared" si="18"/>
        <v>550.2946968</v>
      </c>
      <c r="L77" s="127">
        <f>K77*100/K124</f>
        <v>0.3881073667356808</v>
      </c>
    </row>
    <row r="78" spans="2:12" s="5" customFormat="1" ht="24" x14ac:dyDescent="0.2">
      <c r="B78" s="235">
        <v>73406</v>
      </c>
      <c r="C78" s="214" t="s">
        <v>207</v>
      </c>
      <c r="D78" s="215" t="s">
        <v>237</v>
      </c>
      <c r="E78" s="172" t="s">
        <v>187</v>
      </c>
      <c r="F78" s="83" t="s">
        <v>15</v>
      </c>
      <c r="G78" s="84">
        <v>0.9</v>
      </c>
      <c r="H78" s="144">
        <f>299.3+89.76</f>
        <v>389.06</v>
      </c>
      <c r="I78" s="85">
        <f t="shared" si="17"/>
        <v>491.92746399999999</v>
      </c>
      <c r="J78" s="125"/>
      <c r="K78" s="126">
        <f t="shared" si="18"/>
        <v>442.73471760000001</v>
      </c>
      <c r="L78" s="127">
        <f>K78*100/K124</f>
        <v>0.31224833967944077</v>
      </c>
    </row>
    <row r="79" spans="2:12" s="5" customFormat="1" ht="15" customHeight="1" x14ac:dyDescent="0.25">
      <c r="B79" s="225">
        <v>4114</v>
      </c>
      <c r="C79" s="195" t="s">
        <v>208</v>
      </c>
      <c r="D79" s="194" t="s">
        <v>113</v>
      </c>
      <c r="E79" s="181" t="s">
        <v>68</v>
      </c>
      <c r="F79" s="83" t="s">
        <v>24</v>
      </c>
      <c r="G79" s="84">
        <v>7</v>
      </c>
      <c r="H79" s="119">
        <v>40.42</v>
      </c>
      <c r="I79" s="85">
        <f t="shared" ref="I79:I81" si="19">H79*1.168</f>
        <v>47.210560000000001</v>
      </c>
      <c r="J79" s="125"/>
      <c r="K79" s="126">
        <f t="shared" si="18"/>
        <v>330.47392000000002</v>
      </c>
      <c r="L79" s="127">
        <f>K79*100/K124</f>
        <v>0.23307395766641889</v>
      </c>
    </row>
    <row r="80" spans="2:12" s="5" customFormat="1" ht="15" customHeight="1" x14ac:dyDescent="0.25">
      <c r="B80" s="225">
        <v>4107</v>
      </c>
      <c r="C80" s="195" t="s">
        <v>208</v>
      </c>
      <c r="D80" s="194" t="s">
        <v>114</v>
      </c>
      <c r="E80" s="181" t="s">
        <v>69</v>
      </c>
      <c r="F80" s="83" t="s">
        <v>24</v>
      </c>
      <c r="G80" s="84">
        <v>9</v>
      </c>
      <c r="H80" s="119">
        <v>34.04</v>
      </c>
      <c r="I80" s="85">
        <f t="shared" si="19"/>
        <v>39.758719999999997</v>
      </c>
      <c r="J80" s="125"/>
      <c r="K80" s="126">
        <f t="shared" si="18"/>
        <v>357.82847999999996</v>
      </c>
      <c r="L80" s="127">
        <f>K80*100/K124</f>
        <v>0.25236635919517952</v>
      </c>
    </row>
    <row r="81" spans="2:12" s="5" customFormat="1" ht="15" customHeight="1" x14ac:dyDescent="0.25">
      <c r="B81" s="225">
        <v>7167</v>
      </c>
      <c r="C81" s="195" t="s">
        <v>208</v>
      </c>
      <c r="D81" s="194" t="s">
        <v>115</v>
      </c>
      <c r="E81" s="165" t="s">
        <v>90</v>
      </c>
      <c r="F81" s="83" t="s">
        <v>34</v>
      </c>
      <c r="G81" s="84">
        <v>30</v>
      </c>
      <c r="H81" s="119">
        <v>8.69</v>
      </c>
      <c r="I81" s="85">
        <f t="shared" si="19"/>
        <v>10.149919999999998</v>
      </c>
      <c r="J81" s="125"/>
      <c r="K81" s="126">
        <f t="shared" si="18"/>
        <v>304.49759999999992</v>
      </c>
      <c r="L81" s="127">
        <f>K81*100/K124</f>
        <v>0.21475359003193395</v>
      </c>
    </row>
    <row r="82" spans="2:12" s="5" customFormat="1" ht="24" x14ac:dyDescent="0.2">
      <c r="B82" s="230">
        <v>85188</v>
      </c>
      <c r="C82" s="214" t="s">
        <v>207</v>
      </c>
      <c r="D82" s="203" t="s">
        <v>116</v>
      </c>
      <c r="E82" s="209" t="s">
        <v>211</v>
      </c>
      <c r="F82" s="221" t="s">
        <v>34</v>
      </c>
      <c r="G82" s="218">
        <v>1.35</v>
      </c>
      <c r="H82" s="258">
        <v>254.6</v>
      </c>
      <c r="I82" s="218">
        <f t="shared" ref="I82" si="20">H82*1.2644</f>
        <v>321.91623999999996</v>
      </c>
      <c r="J82" s="222"/>
      <c r="K82" s="219">
        <f t="shared" si="18"/>
        <v>434.58692399999995</v>
      </c>
      <c r="L82" s="220">
        <f>K82*100/K124</f>
        <v>0.30650193009710175</v>
      </c>
    </row>
    <row r="83" spans="2:12" s="5" customFormat="1" ht="15" customHeight="1" x14ac:dyDescent="0.25">
      <c r="B83" s="191"/>
      <c r="C83" s="195"/>
      <c r="D83" s="194"/>
      <c r="E83" s="82" t="s">
        <v>137</v>
      </c>
      <c r="F83" s="128"/>
      <c r="G83" s="129"/>
      <c r="H83" s="130"/>
      <c r="I83" s="130"/>
      <c r="J83" s="131"/>
      <c r="K83" s="132">
        <f>SUM(K75:K82)</f>
        <v>2774.6041124799995</v>
      </c>
      <c r="L83" s="284">
        <f>SUM(L75:L82)</f>
        <v>1.9568502151493081</v>
      </c>
    </row>
    <row r="84" spans="2:12" s="5" customFormat="1" ht="15" customHeight="1" x14ac:dyDescent="0.2">
      <c r="B84" s="229"/>
      <c r="C84" s="206"/>
      <c r="D84" s="121" t="s">
        <v>75</v>
      </c>
      <c r="E84" s="82" t="s">
        <v>143</v>
      </c>
      <c r="F84" s="138"/>
      <c r="G84" s="138"/>
      <c r="H84" s="138"/>
      <c r="I84" s="138"/>
      <c r="J84" s="138"/>
      <c r="K84" s="138"/>
      <c r="L84" s="139"/>
    </row>
    <row r="85" spans="2:12" s="5" customFormat="1" ht="15" customHeight="1" x14ac:dyDescent="0.25">
      <c r="B85" s="225"/>
      <c r="C85" s="198"/>
      <c r="D85" s="194" t="s">
        <v>48</v>
      </c>
      <c r="E85" s="82" t="s">
        <v>179</v>
      </c>
      <c r="F85" s="83"/>
      <c r="G85" s="84"/>
      <c r="H85" s="119"/>
      <c r="I85" s="119"/>
      <c r="J85" s="125"/>
      <c r="K85" s="126"/>
      <c r="L85" s="127"/>
    </row>
    <row r="86" spans="2:12" s="5" customFormat="1" ht="24" x14ac:dyDescent="0.2">
      <c r="B86" s="235">
        <v>73406</v>
      </c>
      <c r="C86" s="214" t="s">
        <v>207</v>
      </c>
      <c r="D86" s="215" t="s">
        <v>238</v>
      </c>
      <c r="E86" s="172" t="s">
        <v>187</v>
      </c>
      <c r="F86" s="221" t="s">
        <v>15</v>
      </c>
      <c r="G86" s="218">
        <v>1.2</v>
      </c>
      <c r="H86" s="259">
        <f>299.3+89.76</f>
        <v>389.06</v>
      </c>
      <c r="I86" s="218">
        <f t="shared" ref="I86:I89" si="21">H86*1.2644</f>
        <v>491.92746399999999</v>
      </c>
      <c r="J86" s="222"/>
      <c r="K86" s="219">
        <f t="shared" ref="K86:K93" si="22">I86*G86</f>
        <v>590.31295679999994</v>
      </c>
      <c r="L86" s="220">
        <f>K86*100/K124</f>
        <v>0.41633111957258762</v>
      </c>
    </row>
    <row r="87" spans="2:12" s="5" customFormat="1" ht="15" customHeight="1" x14ac:dyDescent="0.25">
      <c r="B87" s="225"/>
      <c r="C87" s="193"/>
      <c r="D87" s="194" t="s">
        <v>49</v>
      </c>
      <c r="E87" s="82" t="s">
        <v>147</v>
      </c>
      <c r="F87" s="83"/>
      <c r="G87" s="84"/>
      <c r="H87" s="144"/>
      <c r="I87" s="85">
        <f t="shared" si="21"/>
        <v>0</v>
      </c>
      <c r="J87" s="125"/>
      <c r="K87" s="126">
        <f t="shared" si="22"/>
        <v>0</v>
      </c>
      <c r="L87" s="127"/>
    </row>
    <row r="88" spans="2:12" s="5" customFormat="1" ht="15" customHeight="1" x14ac:dyDescent="0.25">
      <c r="B88" s="227" t="s">
        <v>185</v>
      </c>
      <c r="C88" s="193" t="s">
        <v>207</v>
      </c>
      <c r="D88" s="204" t="s">
        <v>239</v>
      </c>
      <c r="E88" s="172" t="s">
        <v>186</v>
      </c>
      <c r="F88" s="83" t="s">
        <v>15</v>
      </c>
      <c r="G88" s="84">
        <v>1.7</v>
      </c>
      <c r="H88" s="144">
        <f>372+111.58</f>
        <v>483.58</v>
      </c>
      <c r="I88" s="85">
        <f t="shared" si="21"/>
        <v>611.43855199999996</v>
      </c>
      <c r="J88" s="125"/>
      <c r="K88" s="126">
        <f t="shared" si="22"/>
        <v>1039.4455383999998</v>
      </c>
      <c r="L88" s="127">
        <f>K88*100/K124</f>
        <v>0.73309169272295238</v>
      </c>
    </row>
    <row r="89" spans="2:12" s="5" customFormat="1" ht="24" x14ac:dyDescent="0.2">
      <c r="B89" s="235">
        <v>73406</v>
      </c>
      <c r="C89" s="214" t="s">
        <v>207</v>
      </c>
      <c r="D89" s="215" t="s">
        <v>240</v>
      </c>
      <c r="E89" s="172" t="s">
        <v>187</v>
      </c>
      <c r="F89" s="221" t="s">
        <v>15</v>
      </c>
      <c r="G89" s="218">
        <v>1.7</v>
      </c>
      <c r="H89" s="259">
        <f>299.3+89.76</f>
        <v>389.06</v>
      </c>
      <c r="I89" s="218">
        <f t="shared" si="21"/>
        <v>491.92746399999999</v>
      </c>
      <c r="J89" s="222"/>
      <c r="K89" s="219">
        <f t="shared" si="22"/>
        <v>836.27668879999999</v>
      </c>
      <c r="L89" s="220">
        <f>K89*100/K124</f>
        <v>0.58980241939449918</v>
      </c>
    </row>
    <row r="90" spans="2:12" s="5" customFormat="1" ht="15" customHeight="1" x14ac:dyDescent="0.25">
      <c r="B90" s="225">
        <v>4114</v>
      </c>
      <c r="C90" s="195" t="s">
        <v>208</v>
      </c>
      <c r="D90" s="194" t="s">
        <v>117</v>
      </c>
      <c r="E90" s="120" t="s">
        <v>68</v>
      </c>
      <c r="F90" s="83" t="s">
        <v>24</v>
      </c>
      <c r="G90" s="84">
        <v>7</v>
      </c>
      <c r="H90" s="119">
        <v>40.42</v>
      </c>
      <c r="I90" s="85">
        <f t="shared" ref="I90:I92" si="23">H90*1.168</f>
        <v>47.210560000000001</v>
      </c>
      <c r="J90" s="125"/>
      <c r="K90" s="126">
        <f t="shared" si="22"/>
        <v>330.47392000000002</v>
      </c>
      <c r="L90" s="127">
        <f>K90*100/K124</f>
        <v>0.23307395766641889</v>
      </c>
    </row>
    <row r="91" spans="2:12" s="5" customFormat="1" ht="15" customHeight="1" x14ac:dyDescent="0.25">
      <c r="B91" s="225">
        <v>4107</v>
      </c>
      <c r="C91" s="195" t="s">
        <v>208</v>
      </c>
      <c r="D91" s="194" t="s">
        <v>118</v>
      </c>
      <c r="E91" s="120" t="s">
        <v>69</v>
      </c>
      <c r="F91" s="83" t="s">
        <v>24</v>
      </c>
      <c r="G91" s="84">
        <v>15</v>
      </c>
      <c r="H91" s="119">
        <v>34.04</v>
      </c>
      <c r="I91" s="85">
        <f t="shared" si="23"/>
        <v>39.758719999999997</v>
      </c>
      <c r="J91" s="125"/>
      <c r="K91" s="126">
        <f t="shared" si="22"/>
        <v>596.38079999999991</v>
      </c>
      <c r="L91" s="127">
        <f>K91*100/K124</f>
        <v>0.42061059865863248</v>
      </c>
    </row>
    <row r="92" spans="2:12" s="5" customFormat="1" ht="15" customHeight="1" x14ac:dyDescent="0.25">
      <c r="B92" s="225">
        <v>7167</v>
      </c>
      <c r="C92" s="195" t="s">
        <v>208</v>
      </c>
      <c r="D92" s="194" t="s">
        <v>50</v>
      </c>
      <c r="E92" s="121" t="s">
        <v>90</v>
      </c>
      <c r="F92" s="83" t="s">
        <v>34</v>
      </c>
      <c r="G92" s="84">
        <v>55.5</v>
      </c>
      <c r="H92" s="119">
        <v>8.69</v>
      </c>
      <c r="I92" s="85">
        <f t="shared" si="23"/>
        <v>10.149919999999998</v>
      </c>
      <c r="J92" s="125"/>
      <c r="K92" s="126">
        <f t="shared" si="22"/>
        <v>563.32055999999989</v>
      </c>
      <c r="L92" s="127">
        <f>K92*100/K124</f>
        <v>0.39729414155907783</v>
      </c>
    </row>
    <row r="93" spans="2:12" s="5" customFormat="1" ht="48" x14ac:dyDescent="0.2">
      <c r="B93" s="230" t="s">
        <v>209</v>
      </c>
      <c r="C93" s="214" t="s">
        <v>207</v>
      </c>
      <c r="D93" s="203" t="s">
        <v>119</v>
      </c>
      <c r="E93" s="171" t="s">
        <v>210</v>
      </c>
      <c r="F93" s="221" t="s">
        <v>34</v>
      </c>
      <c r="G93" s="218">
        <v>4.5</v>
      </c>
      <c r="H93" s="258">
        <v>697.33</v>
      </c>
      <c r="I93" s="218">
        <f t="shared" ref="I93" si="24">H93*1.2644</f>
        <v>881.70405200000005</v>
      </c>
      <c r="J93" s="222"/>
      <c r="K93" s="219">
        <f t="shared" si="22"/>
        <v>3967.6682340000002</v>
      </c>
      <c r="L93" s="220">
        <f>K93*100/K124</f>
        <v>2.7982847723829796</v>
      </c>
    </row>
    <row r="94" spans="2:12" s="5" customFormat="1" ht="15" customHeight="1" x14ac:dyDescent="0.25">
      <c r="B94" s="191"/>
      <c r="C94" s="195"/>
      <c r="D94" s="194"/>
      <c r="E94" s="82" t="s">
        <v>138</v>
      </c>
      <c r="F94" s="128"/>
      <c r="G94" s="129"/>
      <c r="H94" s="130"/>
      <c r="I94" s="130"/>
      <c r="J94" s="131"/>
      <c r="K94" s="132">
        <f>SUM(K86:K93)</f>
        <v>7923.8786980000004</v>
      </c>
      <c r="L94" s="127">
        <f>K94*100/K124</f>
        <v>5.5884887019571483</v>
      </c>
    </row>
    <row r="95" spans="2:12" s="5" customFormat="1" ht="15" customHeight="1" x14ac:dyDescent="0.25">
      <c r="B95" s="191"/>
      <c r="C95" s="195"/>
      <c r="D95" s="194"/>
      <c r="E95" s="82" t="s">
        <v>139</v>
      </c>
      <c r="F95" s="128"/>
      <c r="G95" s="129"/>
      <c r="H95" s="130"/>
      <c r="I95" s="130"/>
      <c r="J95" s="131"/>
      <c r="K95" s="132">
        <f>K83+K94</f>
        <v>10698.48281048</v>
      </c>
      <c r="L95" s="284">
        <f>L83+L94</f>
        <v>7.5453389171064567</v>
      </c>
    </row>
    <row r="96" spans="2:12" s="5" customFormat="1" ht="15" customHeight="1" x14ac:dyDescent="0.25">
      <c r="B96" s="191"/>
      <c r="C96" s="195"/>
      <c r="D96" s="196" t="s">
        <v>120</v>
      </c>
      <c r="E96" s="82" t="s">
        <v>19</v>
      </c>
      <c r="F96" s="134"/>
      <c r="G96" s="135"/>
      <c r="H96" s="136"/>
      <c r="I96" s="136"/>
      <c r="J96" s="147"/>
      <c r="K96" s="138"/>
      <c r="L96" s="139"/>
    </row>
    <row r="97" spans="2:12" s="5" customFormat="1" ht="15" customHeight="1" x14ac:dyDescent="0.25">
      <c r="B97" s="191"/>
      <c r="C97" s="195"/>
      <c r="D97" s="196" t="s">
        <v>121</v>
      </c>
      <c r="E97" s="82" t="s">
        <v>27</v>
      </c>
      <c r="F97" s="83"/>
      <c r="G97" s="84"/>
      <c r="H97" s="85"/>
      <c r="I97" s="85"/>
      <c r="J97" s="125"/>
      <c r="K97" s="132"/>
      <c r="L97" s="133"/>
    </row>
    <row r="98" spans="2:12" s="5" customFormat="1" ht="36" x14ac:dyDescent="0.2">
      <c r="B98" s="236" t="s">
        <v>36</v>
      </c>
      <c r="C98" s="237" t="s">
        <v>207</v>
      </c>
      <c r="D98" s="211" t="s">
        <v>122</v>
      </c>
      <c r="E98" s="171" t="s">
        <v>191</v>
      </c>
      <c r="F98" s="221" t="s">
        <v>15</v>
      </c>
      <c r="G98" s="218">
        <f>(G101+G115)*0.4*0.9</f>
        <v>2509.56</v>
      </c>
      <c r="H98" s="218">
        <v>3.41</v>
      </c>
      <c r="I98" s="218">
        <f t="shared" ref="I98:I99" si="25">H98*1.2644</f>
        <v>4.311604</v>
      </c>
      <c r="J98" s="222"/>
      <c r="K98" s="219">
        <f t="shared" ref="K98:K119" si="26">I98*G98</f>
        <v>10820.22893424</v>
      </c>
      <c r="L98" s="220">
        <f>K98*100/K124</f>
        <v>7.6312030327839926</v>
      </c>
    </row>
    <row r="99" spans="2:12" s="5" customFormat="1" ht="13.5" x14ac:dyDescent="0.25">
      <c r="B99" s="231" t="s">
        <v>192</v>
      </c>
      <c r="C99" s="210" t="s">
        <v>207</v>
      </c>
      <c r="D99" s="212" t="s">
        <v>123</v>
      </c>
      <c r="E99" s="171" t="s">
        <v>193</v>
      </c>
      <c r="F99" s="169" t="s">
        <v>38</v>
      </c>
      <c r="G99" s="177">
        <f>G98*0.8</f>
        <v>2007.6480000000001</v>
      </c>
      <c r="H99" s="85">
        <v>1.84</v>
      </c>
      <c r="I99" s="85">
        <f t="shared" si="25"/>
        <v>2.3264960000000001</v>
      </c>
      <c r="J99" s="125"/>
      <c r="K99" s="126">
        <f t="shared" si="26"/>
        <v>4670.7850414080003</v>
      </c>
      <c r="L99" s="127">
        <f>K99*100/K124</f>
        <v>3.2941732739759644</v>
      </c>
    </row>
    <row r="100" spans="2:12" s="5" customFormat="1" ht="15" customHeight="1" x14ac:dyDescent="0.25">
      <c r="B100" s="191"/>
      <c r="C100" s="195"/>
      <c r="D100" s="194" t="s">
        <v>124</v>
      </c>
      <c r="E100" s="82" t="s">
        <v>177</v>
      </c>
      <c r="F100" s="83"/>
      <c r="G100" s="84"/>
      <c r="H100" s="85"/>
      <c r="I100" s="85"/>
      <c r="J100" s="125"/>
      <c r="K100" s="126"/>
      <c r="L100" s="127"/>
    </row>
    <row r="101" spans="2:12" s="5" customFormat="1" ht="15" customHeight="1" x14ac:dyDescent="0.25">
      <c r="B101" s="191">
        <v>12599</v>
      </c>
      <c r="C101" s="195" t="s">
        <v>208</v>
      </c>
      <c r="D101" s="194" t="s">
        <v>125</v>
      </c>
      <c r="E101" s="118" t="s">
        <v>156</v>
      </c>
      <c r="F101" s="160" t="s">
        <v>26</v>
      </c>
      <c r="G101" s="161">
        <v>5169</v>
      </c>
      <c r="H101" s="84">
        <v>8.14</v>
      </c>
      <c r="I101" s="85">
        <f>H101*1.168</f>
        <v>9.5075199999999995</v>
      </c>
      <c r="J101" s="125"/>
      <c r="K101" s="126">
        <f t="shared" si="26"/>
        <v>49144.370879999995</v>
      </c>
      <c r="L101" s="127">
        <f>K101*100/K124</f>
        <v>34.660142071204618</v>
      </c>
    </row>
    <row r="102" spans="2:12" s="5" customFormat="1" ht="15" customHeight="1" x14ac:dyDescent="0.25">
      <c r="B102" s="191">
        <v>73888</v>
      </c>
      <c r="C102" s="193" t="s">
        <v>207</v>
      </c>
      <c r="D102" s="194" t="s">
        <v>241</v>
      </c>
      <c r="E102" s="118" t="s">
        <v>198</v>
      </c>
      <c r="F102" s="160" t="s">
        <v>26</v>
      </c>
      <c r="G102" s="161">
        <v>5169</v>
      </c>
      <c r="H102" s="84">
        <v>1.17</v>
      </c>
      <c r="I102" s="85">
        <f t="shared" ref="I102" si="27">H102*1.2644</f>
        <v>1.4793479999999999</v>
      </c>
      <c r="J102" s="125"/>
      <c r="K102" s="126">
        <f t="shared" si="26"/>
        <v>7646.7498119999991</v>
      </c>
      <c r="L102" s="127">
        <f>K102*100/K124</f>
        <v>5.3930374958719423</v>
      </c>
    </row>
    <row r="103" spans="2:12" s="5" customFormat="1" ht="15" customHeight="1" x14ac:dyDescent="0.25">
      <c r="B103" s="191">
        <v>7048</v>
      </c>
      <c r="C103" s="195" t="s">
        <v>208</v>
      </c>
      <c r="D103" s="194" t="s">
        <v>126</v>
      </c>
      <c r="E103" s="118" t="s">
        <v>148</v>
      </c>
      <c r="F103" s="162" t="s">
        <v>24</v>
      </c>
      <c r="G103" s="161">
        <v>4</v>
      </c>
      <c r="H103" s="126">
        <v>6.85</v>
      </c>
      <c r="I103" s="85">
        <f t="shared" ref="I103:I113" si="28">H103*1.168</f>
        <v>8.0007999999999999</v>
      </c>
      <c r="J103" s="125"/>
      <c r="K103" s="126">
        <f t="shared" si="26"/>
        <v>32.0032</v>
      </c>
      <c r="L103" s="127">
        <f>K103*100/K124</f>
        <v>2.2570956528097399E-2</v>
      </c>
    </row>
    <row r="104" spans="2:12" s="5" customFormat="1" ht="15" customHeight="1" x14ac:dyDescent="0.25">
      <c r="B104" s="191">
        <v>1206</v>
      </c>
      <c r="C104" s="195" t="s">
        <v>208</v>
      </c>
      <c r="D104" s="194" t="s">
        <v>127</v>
      </c>
      <c r="E104" s="118" t="s">
        <v>263</v>
      </c>
      <c r="F104" s="162" t="s">
        <v>24</v>
      </c>
      <c r="G104" s="161">
        <v>1</v>
      </c>
      <c r="H104" s="126">
        <v>3.74</v>
      </c>
      <c r="I104" s="85">
        <f t="shared" si="28"/>
        <v>4.3683199999999998</v>
      </c>
      <c r="J104" s="125"/>
      <c r="K104" s="126">
        <f t="shared" si="26"/>
        <v>4.3683199999999998</v>
      </c>
      <c r="L104" s="127">
        <f>K104*100/K124</f>
        <v>3.0808531903315428E-3</v>
      </c>
    </row>
    <row r="105" spans="2:12" s="5" customFormat="1" ht="15" customHeight="1" x14ac:dyDescent="0.25">
      <c r="B105" s="191">
        <v>1198</v>
      </c>
      <c r="C105" s="195" t="s">
        <v>208</v>
      </c>
      <c r="D105" s="194" t="s">
        <v>128</v>
      </c>
      <c r="E105" s="118" t="s">
        <v>264</v>
      </c>
      <c r="F105" s="162" t="s">
        <v>24</v>
      </c>
      <c r="G105" s="161">
        <v>1</v>
      </c>
      <c r="H105" s="126">
        <v>1.19</v>
      </c>
      <c r="I105" s="85">
        <f t="shared" si="28"/>
        <v>1.3899199999999998</v>
      </c>
      <c r="J105" s="125"/>
      <c r="K105" s="126">
        <f t="shared" si="26"/>
        <v>1.3899199999999998</v>
      </c>
      <c r="L105" s="127">
        <f>K105*100/K124</f>
        <v>9.8027146965094531E-4</v>
      </c>
    </row>
    <row r="106" spans="2:12" s="5" customFormat="1" ht="15" customHeight="1" x14ac:dyDescent="0.25">
      <c r="B106" s="191">
        <v>1845</v>
      </c>
      <c r="C106" s="195" t="s">
        <v>208</v>
      </c>
      <c r="D106" s="194" t="s">
        <v>129</v>
      </c>
      <c r="E106" s="118" t="s">
        <v>145</v>
      </c>
      <c r="F106" s="162" t="s">
        <v>24</v>
      </c>
      <c r="G106" s="161">
        <v>5</v>
      </c>
      <c r="H106" s="126">
        <v>8.0399999999999991</v>
      </c>
      <c r="I106" s="85">
        <f t="shared" si="28"/>
        <v>9.3907199999999982</v>
      </c>
      <c r="J106" s="125"/>
      <c r="K106" s="126">
        <f t="shared" si="26"/>
        <v>46.953599999999994</v>
      </c>
      <c r="L106" s="127">
        <f>K106*100/K124</f>
        <v>3.3115053008376472E-2</v>
      </c>
    </row>
    <row r="107" spans="2:12" s="5" customFormat="1" ht="15" customHeight="1" x14ac:dyDescent="0.25">
      <c r="B107" s="191">
        <v>1831</v>
      </c>
      <c r="C107" s="195" t="s">
        <v>208</v>
      </c>
      <c r="D107" s="194" t="s">
        <v>130</v>
      </c>
      <c r="E107" s="166" t="s">
        <v>149</v>
      </c>
      <c r="F107" s="162" t="s">
        <v>24</v>
      </c>
      <c r="G107" s="161">
        <v>8</v>
      </c>
      <c r="H107" s="126">
        <v>9.86</v>
      </c>
      <c r="I107" s="85">
        <f t="shared" si="28"/>
        <v>11.516479999999998</v>
      </c>
      <c r="J107" s="125"/>
      <c r="K107" s="126">
        <f t="shared" si="26"/>
        <v>92.131839999999983</v>
      </c>
      <c r="L107" s="127">
        <f>K107*100/K124</f>
        <v>6.4977994559719796E-2</v>
      </c>
    </row>
    <row r="108" spans="2:12" s="5" customFormat="1" ht="15" customHeight="1" x14ac:dyDescent="0.25">
      <c r="B108" s="191">
        <v>1414</v>
      </c>
      <c r="C108" s="195" t="s">
        <v>208</v>
      </c>
      <c r="D108" s="194" t="s">
        <v>131</v>
      </c>
      <c r="E108" s="166" t="s">
        <v>150</v>
      </c>
      <c r="F108" s="162" t="s">
        <v>24</v>
      </c>
      <c r="G108" s="161">
        <v>9</v>
      </c>
      <c r="H108" s="126">
        <v>4.55</v>
      </c>
      <c r="I108" s="85">
        <f t="shared" si="28"/>
        <v>5.3143999999999991</v>
      </c>
      <c r="J108" s="125"/>
      <c r="K108" s="126">
        <f t="shared" si="26"/>
        <v>47.829599999999992</v>
      </c>
      <c r="L108" s="127">
        <f>K108*100/K124</f>
        <v>3.3732871161517824E-2</v>
      </c>
    </row>
    <row r="109" spans="2:12" s="5" customFormat="1" ht="15" customHeight="1" x14ac:dyDescent="0.25">
      <c r="B109" s="191">
        <v>1423</v>
      </c>
      <c r="C109" s="195" t="s">
        <v>208</v>
      </c>
      <c r="D109" s="194" t="s">
        <v>132</v>
      </c>
      <c r="E109" s="166" t="s">
        <v>151</v>
      </c>
      <c r="F109" s="162" t="s">
        <v>24</v>
      </c>
      <c r="G109" s="161">
        <v>1</v>
      </c>
      <c r="H109" s="126">
        <v>3.45</v>
      </c>
      <c r="I109" s="85">
        <f t="shared" si="28"/>
        <v>4.0296000000000003</v>
      </c>
      <c r="J109" s="125"/>
      <c r="K109" s="126">
        <f t="shared" si="26"/>
        <v>4.0296000000000003</v>
      </c>
      <c r="L109" s="127">
        <f>K109*100/K124</f>
        <v>2.8419635044502202E-3</v>
      </c>
    </row>
    <row r="110" spans="2:12" s="5" customFormat="1" ht="24" x14ac:dyDescent="0.2">
      <c r="B110" s="224">
        <v>61</v>
      </c>
      <c r="C110" s="203" t="s">
        <v>208</v>
      </c>
      <c r="D110" s="203" t="s">
        <v>133</v>
      </c>
      <c r="E110" s="172" t="s">
        <v>269</v>
      </c>
      <c r="F110" s="213" t="s">
        <v>24</v>
      </c>
      <c r="G110" s="183">
        <v>4</v>
      </c>
      <c r="H110" s="179">
        <v>1.69</v>
      </c>
      <c r="I110" s="85">
        <f t="shared" si="28"/>
        <v>1.9739199999999999</v>
      </c>
      <c r="J110" s="125"/>
      <c r="K110" s="126">
        <f t="shared" si="26"/>
        <v>7.8956799999999996</v>
      </c>
      <c r="L110" s="127">
        <f>K110*100/K124</f>
        <v>5.5686009536473876E-3</v>
      </c>
    </row>
    <row r="111" spans="2:12" s="5" customFormat="1" ht="13.5" x14ac:dyDescent="0.25">
      <c r="B111" s="191">
        <v>11677</v>
      </c>
      <c r="C111" s="195" t="s">
        <v>208</v>
      </c>
      <c r="D111" s="194" t="s">
        <v>161</v>
      </c>
      <c r="E111" s="166" t="s">
        <v>243</v>
      </c>
      <c r="F111" s="162" t="s">
        <v>24</v>
      </c>
      <c r="G111" s="161">
        <v>3</v>
      </c>
      <c r="H111" s="126">
        <v>30.54</v>
      </c>
      <c r="I111" s="85">
        <f t="shared" si="28"/>
        <v>35.670719999999996</v>
      </c>
      <c r="J111" s="125"/>
      <c r="K111" s="126">
        <f t="shared" si="26"/>
        <v>107.01215999999999</v>
      </c>
      <c r="L111" s="127">
        <f>K111*100/K124</f>
        <v>7.5472665587747581E-2</v>
      </c>
    </row>
    <row r="112" spans="2:12" s="5" customFormat="1" ht="13.5" x14ac:dyDescent="0.25">
      <c r="B112" s="224" t="s">
        <v>246</v>
      </c>
      <c r="C112" s="203" t="s">
        <v>208</v>
      </c>
      <c r="D112" s="194" t="s">
        <v>162</v>
      </c>
      <c r="E112" s="181" t="s">
        <v>268</v>
      </c>
      <c r="F112" s="162" t="s">
        <v>24</v>
      </c>
      <c r="G112" s="161">
        <v>2</v>
      </c>
      <c r="H112" s="126">
        <v>1016.76</v>
      </c>
      <c r="I112" s="85">
        <f t="shared" ref="I112" si="29">H112*1.168</f>
        <v>1187.5756799999999</v>
      </c>
      <c r="J112" s="125"/>
      <c r="K112" s="126">
        <f t="shared" ref="K112" si="30">I112*G112</f>
        <v>2375.1513599999998</v>
      </c>
      <c r="L112" s="127">
        <f>K112*100/K124</f>
        <v>1.6751274277013366</v>
      </c>
    </row>
    <row r="113" spans="2:12" s="5" customFormat="1" ht="24" x14ac:dyDescent="0.2">
      <c r="B113" s="224">
        <v>81</v>
      </c>
      <c r="C113" s="203" t="s">
        <v>208</v>
      </c>
      <c r="D113" s="203" t="s">
        <v>162</v>
      </c>
      <c r="E113" s="172" t="s">
        <v>215</v>
      </c>
      <c r="F113" s="213" t="s">
        <v>24</v>
      </c>
      <c r="G113" s="183">
        <v>2</v>
      </c>
      <c r="H113" s="179">
        <v>33.47</v>
      </c>
      <c r="I113" s="177">
        <f t="shared" si="28"/>
        <v>39.092959999999998</v>
      </c>
      <c r="J113" s="178"/>
      <c r="K113" s="179">
        <f t="shared" si="26"/>
        <v>78.185919999999996</v>
      </c>
      <c r="L113" s="239">
        <f>K113*100/K124</f>
        <v>5.5142329561709481E-2</v>
      </c>
    </row>
    <row r="114" spans="2:12" s="5" customFormat="1" ht="15" customHeight="1" x14ac:dyDescent="0.2">
      <c r="B114" s="232"/>
      <c r="C114" s="195"/>
      <c r="D114" s="207" t="s">
        <v>134</v>
      </c>
      <c r="E114" s="141" t="s">
        <v>152</v>
      </c>
      <c r="F114" s="162"/>
      <c r="G114" s="161"/>
      <c r="H114" s="126"/>
      <c r="I114" s="85"/>
      <c r="J114" s="125"/>
      <c r="K114" s="126"/>
      <c r="L114" s="127"/>
    </row>
    <row r="115" spans="2:12" s="5" customFormat="1" ht="24" x14ac:dyDescent="0.2">
      <c r="B115" s="230">
        <v>9813</v>
      </c>
      <c r="C115" s="203" t="s">
        <v>208</v>
      </c>
      <c r="D115" s="208" t="s">
        <v>135</v>
      </c>
      <c r="E115" s="172" t="s">
        <v>203</v>
      </c>
      <c r="F115" s="256" t="s">
        <v>155</v>
      </c>
      <c r="G115" s="257">
        <v>1802</v>
      </c>
      <c r="H115" s="258">
        <v>2.4</v>
      </c>
      <c r="I115" s="218">
        <f>H115*1.168</f>
        <v>2.8031999999999999</v>
      </c>
      <c r="J115" s="222"/>
      <c r="K115" s="219">
        <f t="shared" si="26"/>
        <v>5051.3663999999999</v>
      </c>
      <c r="L115" s="220">
        <f>K115*100/K124</f>
        <v>3.5625865982742932</v>
      </c>
    </row>
    <row r="116" spans="2:12" s="5" customFormat="1" ht="13.5" x14ac:dyDescent="0.2">
      <c r="B116" s="191">
        <v>73888</v>
      </c>
      <c r="C116" s="193" t="s">
        <v>207</v>
      </c>
      <c r="D116" s="208" t="s">
        <v>242</v>
      </c>
      <c r="E116" s="121" t="s">
        <v>247</v>
      </c>
      <c r="F116" s="182" t="s">
        <v>155</v>
      </c>
      <c r="G116" s="183">
        <v>1802</v>
      </c>
      <c r="H116" s="84">
        <v>1.17</v>
      </c>
      <c r="I116" s="85">
        <f t="shared" ref="I116" si="31">H116*1.2644</f>
        <v>1.4793479999999999</v>
      </c>
      <c r="J116" s="125"/>
      <c r="K116" s="126">
        <f t="shared" ref="K116" si="32">I116*G116</f>
        <v>2665.7850959999996</v>
      </c>
      <c r="L116" s="127">
        <f>K116*100/K124</f>
        <v>1.8801032245233587</v>
      </c>
    </row>
    <row r="117" spans="2:12" s="5" customFormat="1" ht="13.5" x14ac:dyDescent="0.2">
      <c r="B117" s="238" t="s">
        <v>153</v>
      </c>
      <c r="C117" s="214" t="s">
        <v>207</v>
      </c>
      <c r="D117" s="208" t="s">
        <v>136</v>
      </c>
      <c r="E117" s="172" t="s">
        <v>194</v>
      </c>
      <c r="F117" s="213" t="s">
        <v>24</v>
      </c>
      <c r="G117" s="183">
        <v>14</v>
      </c>
      <c r="H117" s="184">
        <v>53.37</v>
      </c>
      <c r="I117" s="177">
        <f t="shared" ref="I117:I119" si="33">H117*1.2644</f>
        <v>67.481027999999995</v>
      </c>
      <c r="J117" s="178"/>
      <c r="K117" s="179">
        <f t="shared" si="26"/>
        <v>944.73439199999996</v>
      </c>
      <c r="L117" s="127">
        <f>K117*100/K124</f>
        <v>0.66629458592986091</v>
      </c>
    </row>
    <row r="118" spans="2:12" s="5" customFormat="1" ht="15" customHeight="1" x14ac:dyDescent="0.25">
      <c r="B118" s="233" t="s">
        <v>154</v>
      </c>
      <c r="C118" s="193" t="s">
        <v>207</v>
      </c>
      <c r="D118" s="200" t="s">
        <v>163</v>
      </c>
      <c r="E118" s="118" t="s">
        <v>267</v>
      </c>
      <c r="F118" s="162" t="s">
        <v>24</v>
      </c>
      <c r="G118" s="161">
        <v>14</v>
      </c>
      <c r="H118" s="119">
        <v>102.04</v>
      </c>
      <c r="I118" s="85">
        <f t="shared" si="33"/>
        <v>129.01937599999999</v>
      </c>
      <c r="J118" s="125"/>
      <c r="K118" s="126">
        <f t="shared" si="26"/>
        <v>1806.271264</v>
      </c>
      <c r="L118" s="127">
        <f>K118*100/K124</f>
        <v>1.2739123018228034</v>
      </c>
    </row>
    <row r="119" spans="2:12" s="5" customFormat="1" ht="24" x14ac:dyDescent="0.2">
      <c r="B119" s="238" t="s">
        <v>201</v>
      </c>
      <c r="C119" s="214" t="s">
        <v>207</v>
      </c>
      <c r="D119" s="208" t="s">
        <v>164</v>
      </c>
      <c r="E119" s="172" t="s">
        <v>202</v>
      </c>
      <c r="F119" s="213" t="s">
        <v>24</v>
      </c>
      <c r="G119" s="183">
        <v>14</v>
      </c>
      <c r="H119" s="184">
        <v>152.65</v>
      </c>
      <c r="I119" s="177">
        <f t="shared" si="33"/>
        <v>193.01066</v>
      </c>
      <c r="J119" s="178"/>
      <c r="K119" s="179">
        <f t="shared" si="26"/>
        <v>2702.1492400000002</v>
      </c>
      <c r="L119" s="239">
        <f>K119*100/K124</f>
        <v>1.9057498321565163</v>
      </c>
    </row>
    <row r="120" spans="2:12" s="5" customFormat="1" ht="15" customHeight="1" x14ac:dyDescent="0.25">
      <c r="B120" s="191"/>
      <c r="C120" s="193"/>
      <c r="D120" s="196" t="s">
        <v>165</v>
      </c>
      <c r="E120" s="163" t="s">
        <v>80</v>
      </c>
      <c r="F120" s="134"/>
      <c r="G120" s="135"/>
      <c r="H120" s="136"/>
      <c r="I120" s="136"/>
      <c r="J120" s="147"/>
      <c r="K120" s="138"/>
      <c r="L120" s="139"/>
    </row>
    <row r="121" spans="2:12" s="5" customFormat="1" ht="36" x14ac:dyDescent="0.2">
      <c r="B121" s="224" t="s">
        <v>97</v>
      </c>
      <c r="C121" s="214" t="s">
        <v>207</v>
      </c>
      <c r="D121" s="203" t="s">
        <v>166</v>
      </c>
      <c r="E121" s="171" t="s">
        <v>195</v>
      </c>
      <c r="F121" s="221" t="s">
        <v>24</v>
      </c>
      <c r="G121" s="218">
        <v>5</v>
      </c>
      <c r="H121" s="218">
        <f>168.78+25</f>
        <v>193.78</v>
      </c>
      <c r="I121" s="218">
        <f t="shared" ref="I121:I122" si="34">H121*1.2644</f>
        <v>245.015432</v>
      </c>
      <c r="J121" s="222"/>
      <c r="K121" s="219">
        <f t="shared" ref="K121:K122" si="35">I121*G121</f>
        <v>1225.07716</v>
      </c>
      <c r="L121" s="220">
        <f>K121*100/K124</f>
        <v>0.86401245256490045</v>
      </c>
    </row>
    <row r="122" spans="2:12" s="5" customFormat="1" ht="15" customHeight="1" x14ac:dyDescent="0.25">
      <c r="B122" s="191" t="s">
        <v>196</v>
      </c>
      <c r="C122" s="193" t="s">
        <v>207</v>
      </c>
      <c r="D122" s="194" t="s">
        <v>167</v>
      </c>
      <c r="E122" s="121" t="s">
        <v>197</v>
      </c>
      <c r="F122" s="83" t="s">
        <v>15</v>
      </c>
      <c r="G122" s="164">
        <v>0.04</v>
      </c>
      <c r="H122" s="125">
        <f>228.6+68.66</f>
        <v>297.26</v>
      </c>
      <c r="I122" s="85">
        <f t="shared" si="34"/>
        <v>375.85554399999995</v>
      </c>
      <c r="J122" s="125"/>
      <c r="K122" s="126">
        <f t="shared" si="35"/>
        <v>15.034221759999998</v>
      </c>
      <c r="L122" s="127">
        <f>K122*100/K124</f>
        <v>1.0603213609224576E-2</v>
      </c>
    </row>
    <row r="123" spans="2:12" s="5" customFormat="1" ht="15" customHeight="1" x14ac:dyDescent="0.25">
      <c r="B123" s="285"/>
      <c r="C123" s="194"/>
      <c r="D123" s="194"/>
      <c r="E123" s="81" t="s">
        <v>140</v>
      </c>
      <c r="F123" s="82"/>
      <c r="G123" s="129"/>
      <c r="H123" s="130"/>
      <c r="I123" s="130"/>
      <c r="J123" s="131"/>
      <c r="K123" s="132">
        <f>SUM(K98:K122)</f>
        <v>89489.50364140798</v>
      </c>
      <c r="L123" s="284">
        <f>SUM(L98:L122)</f>
        <v>63.114429069944059</v>
      </c>
    </row>
    <row r="124" spans="2:12" s="5" customFormat="1" ht="21" customHeight="1" thickBot="1" x14ac:dyDescent="0.35">
      <c r="B124" s="268"/>
      <c r="C124" s="269"/>
      <c r="D124" s="269"/>
      <c r="E124" s="270" t="s">
        <v>89</v>
      </c>
      <c r="F124" s="269"/>
      <c r="G124" s="271"/>
      <c r="H124" s="271"/>
      <c r="I124" s="272"/>
      <c r="J124" s="273" t="s">
        <v>21</v>
      </c>
      <c r="K124" s="274">
        <f>K123+K95+K71+K61+K49+K33+K28+K12</f>
        <v>141789.29439769598</v>
      </c>
      <c r="L124" s="286">
        <f>L123+L95+L71+L61+L49+L33+L28+L12</f>
        <v>100</v>
      </c>
    </row>
    <row r="125" spans="2:12" ht="13.5" x14ac:dyDescent="0.25">
      <c r="B125" s="65"/>
      <c r="C125" s="37"/>
      <c r="D125" s="37"/>
      <c r="E125" s="37"/>
      <c r="F125" s="37"/>
      <c r="G125" s="38"/>
      <c r="H125" s="38"/>
      <c r="I125" s="38"/>
      <c r="J125" s="37"/>
      <c r="K125" s="241"/>
      <c r="L125" s="67"/>
    </row>
    <row r="126" spans="2:12" ht="13.5" x14ac:dyDescent="0.25">
      <c r="B126" s="65" t="s">
        <v>249</v>
      </c>
      <c r="C126" s="37"/>
      <c r="D126" s="38"/>
      <c r="E126" s="38"/>
      <c r="F126" s="38"/>
      <c r="G126" s="38"/>
      <c r="H126" s="38"/>
      <c r="I126" s="38"/>
      <c r="J126" s="37"/>
      <c r="K126" s="37"/>
      <c r="L126" s="66"/>
    </row>
    <row r="127" spans="2:12" ht="13.5" x14ac:dyDescent="0.25">
      <c r="B127" s="65"/>
      <c r="C127" s="37"/>
      <c r="D127" s="37"/>
      <c r="E127" s="37"/>
      <c r="F127" s="37"/>
      <c r="G127" s="38"/>
      <c r="H127" s="38"/>
      <c r="I127" s="38"/>
      <c r="J127" s="37"/>
      <c r="K127" s="39"/>
      <c r="L127" s="67"/>
    </row>
    <row r="128" spans="2:12" ht="13.5" x14ac:dyDescent="0.25">
      <c r="B128" s="65"/>
      <c r="C128" s="37"/>
      <c r="D128" s="37"/>
      <c r="E128" s="37"/>
      <c r="F128" s="37" t="s">
        <v>67</v>
      </c>
      <c r="G128" s="38"/>
      <c r="H128" s="38"/>
      <c r="I128" s="38"/>
      <c r="J128" s="37"/>
      <c r="K128" s="39"/>
      <c r="L128" s="80"/>
    </row>
    <row r="129" spans="2:12" ht="13.5" x14ac:dyDescent="0.25">
      <c r="B129" s="65"/>
      <c r="C129" s="37"/>
      <c r="D129" s="37"/>
      <c r="E129" s="37" t="s">
        <v>32</v>
      </c>
      <c r="F129" s="37" t="s">
        <v>168</v>
      </c>
      <c r="G129" s="37"/>
      <c r="H129" s="37"/>
      <c r="I129" s="38"/>
      <c r="J129" s="37"/>
      <c r="K129" s="37"/>
      <c r="L129" s="67"/>
    </row>
    <row r="130" spans="2:12" ht="13.5" x14ac:dyDescent="0.25">
      <c r="B130" s="65"/>
      <c r="C130" s="37"/>
      <c r="D130" s="37"/>
      <c r="E130" s="37" t="s">
        <v>33</v>
      </c>
      <c r="F130" s="37"/>
      <c r="G130" s="38"/>
      <c r="H130" s="38"/>
      <c r="I130" s="38"/>
      <c r="J130" s="37"/>
      <c r="K130" s="73"/>
      <c r="L130" s="67"/>
    </row>
    <row r="131" spans="2:12" ht="14.25" thickBot="1" x14ac:dyDescent="0.3">
      <c r="B131" s="68"/>
      <c r="C131" s="69"/>
      <c r="D131" s="69"/>
      <c r="E131" s="69"/>
      <c r="F131" s="69"/>
      <c r="G131" s="70"/>
      <c r="H131" s="70"/>
      <c r="I131" s="70"/>
      <c r="J131" s="69"/>
      <c r="K131" s="69"/>
      <c r="L131" s="71"/>
    </row>
    <row r="132" spans="2:12" x14ac:dyDescent="0.2">
      <c r="K132" s="14"/>
    </row>
    <row r="133" spans="2:12" x14ac:dyDescent="0.2">
      <c r="K133" s="14"/>
    </row>
    <row r="134" spans="2:12" x14ac:dyDescent="0.2">
      <c r="K134" s="72"/>
    </row>
  </sheetData>
  <phoneticPr fontId="0" type="noConversion"/>
  <printOptions horizontalCentered="1" verticalCentered="1"/>
  <pageMargins left="0.43307086614173229" right="0.39370078740157483" top="0.78740157480314965" bottom="0.39370078740157483" header="0" footer="0"/>
  <pageSetup paperSize="9" scale="90" fitToHeight="3" orientation="landscape" r:id="rId1"/>
  <headerFooter alignWithMargins="0">
    <oddFooter>&amp;R&amp;8&amp;F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CRONOGRAMA</vt:lpstr>
      <vt:lpstr>ORÇAMENTO </vt:lpstr>
      <vt:lpstr>'ORÇAMENTO 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CAIXA ECONÔMICA FEDERAL</dc:creator>
  <cp:lastModifiedBy>xx</cp:lastModifiedBy>
  <cp:lastPrinted>2015-03-25T00:26:49Z</cp:lastPrinted>
  <dcterms:created xsi:type="dcterms:W3CDTF">2005-01-22T01:37:34Z</dcterms:created>
  <dcterms:modified xsi:type="dcterms:W3CDTF">2016-03-22T00:18:10Z</dcterms:modified>
</cp:coreProperties>
</file>